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4\"/>
    </mc:Choice>
  </mc:AlternateContent>
  <bookViews>
    <workbookView xWindow="405" yWindow="120" windowWidth="8415" windowHeight="4455"/>
  </bookViews>
  <sheets>
    <sheet name="Data" sheetId="1" r:id="rId1"/>
    <sheet name="Time Series" sheetId="3" r:id="rId2"/>
    <sheet name="Forecast MA Span3" sheetId="4" r:id="rId3"/>
    <sheet name="Forecast MA Span6" sheetId="5" r:id="rId4"/>
    <sheet name="Forecast MA Span12" sheetId="6" r:id="rId5"/>
    <sheet name="Forecast Simple Exponential" sheetId="7" r:id="rId6"/>
    <sheet name="Forecast Holts Exponential" sheetId="8" r:id="rId7"/>
    <sheet name="_STDS_DG810C2A5" sheetId="10" state="hidden" r:id="rId8"/>
  </sheets>
  <definedNames>
    <definedName name="ScatterX_FF46">_xll.StatScatterPlot([0]!ST_Sales1,[0]!ST_Sales2,0)</definedName>
    <definedName name="ScatterY_FF46">_xll.StatScatterPlot([0]!ST_Sales1,[0]!ST_Sales2,1)</definedName>
    <definedName name="ST_Month">Data!$A$2:$A$61</definedName>
    <definedName name="ST_Sales1">Data!$C$2:$C$61</definedName>
    <definedName name="ST_Sales2">Data!$D$2:$D$61</definedName>
    <definedName name="ST_Time">Data!$B$2:$B$61</definedName>
    <definedName name="StatToolsHeader" localSheetId="6">'Forecast Holts Exponential'!$1:$5</definedName>
    <definedName name="StatToolsHeader" localSheetId="4">'Forecast MA Span12'!$1:$5</definedName>
    <definedName name="StatToolsHeader" localSheetId="2">'Forecast MA Span3'!$1:$5</definedName>
    <definedName name="StatToolsHeader" localSheetId="3">'Forecast MA Span6'!$1:$5</definedName>
    <definedName name="StatToolsHeader" localSheetId="5">'Forecast Simple Exponential'!$1:$5</definedName>
    <definedName name="StatToolsHeader" localSheetId="1">'Time Series'!$1:$5</definedName>
    <definedName name="STWBD_StatToolsForecast_Deseasonalize" hidden="1">"FALSE"</definedName>
    <definedName name="STWBD_StatToolsForecast_ForecastMethod" hidden="1">" 2"</definedName>
    <definedName name="STWBD_StatToolsForecast_GraphDeseasonalizedForecastErrors" hidden="1">"FALSE"</definedName>
    <definedName name="STWBD_StatToolsForecast_GraphDeseasonalizedForecastOverlay" hidden="1">"FALSE"</definedName>
    <definedName name="STWBD_StatToolsForecast_GraphDeseasonalizedOriginalSeries" hidden="1">"FALSE"</definedName>
    <definedName name="STWBD_StatToolsForecast_GraphForecastErrors" hidden="1">"TRUE"</definedName>
    <definedName name="STWBD_StatToolsForecast_GraphForecastOverlay" hidden="1">"TRUE"</definedName>
    <definedName name="STWBD_StatToolsForecast_GraphOriginalSeries" hidden="1">"TRUE"</definedName>
    <definedName name="STWBD_StatToolsForecast_HasDefaultInfo" hidden="1">"TRUE"</definedName>
    <definedName name="STWBD_StatToolsForecast_Level" hidden="1">" .1"</definedName>
    <definedName name="STWBD_StatToolsForecast_NumberOfForecasts" hidden="1">" 12"</definedName>
    <definedName name="STWBD_StatToolsForecast_NumberOfHoldOuts" hidden="1">" 0"</definedName>
    <definedName name="STWBD_StatToolsForecast_OptimizeParameters" hidden="1">"TRUE"</definedName>
    <definedName name="STWBD_StatToolsForecast_Seasonality" hidden="1">" .1"</definedName>
    <definedName name="STWBD_StatToolsForecast_SeasonalPeriod" hidden="1">" 2"</definedName>
    <definedName name="STWBD_StatToolsForecast_Span" hidden="1">" 12"</definedName>
    <definedName name="STWBD_StatToolsForecast_StartingDay" hidden="1">" 1"</definedName>
    <definedName name="STWBD_StatToolsForecast_StartingIndex" hidden="1">" 1"</definedName>
    <definedName name="STWBD_StatToolsForecast_StartingMonth" hidden="1">" 1"</definedName>
    <definedName name="STWBD_StatToolsForecast_StartingQuarter" hidden="1">" 1"</definedName>
    <definedName name="STWBD_StatToolsForecast_StartingWeek" hidden="1">" 1"</definedName>
    <definedName name="STWBD_StatToolsForecast_StartingYear" hidden="1">" 2006"</definedName>
    <definedName name="STWBD_StatToolsForecast_Trend" hidden="1">" .1"</definedName>
    <definedName name="STWBD_StatToolsForecast_UseSeasonLabels" hidden="1">"TRUE"</definedName>
    <definedName name="STWBD_StatToolsForecast_Variable" hidden="1">"U_x0001_VG55D4977_x0001_"</definedName>
    <definedName name="STWBD_StatToolsForecast_VarSelectorDefaultDataSet" hidden="1">"DG810C2A5"</definedName>
    <definedName name="STWBD_StatToolsScatterplot_DisplayCorrelationCoefficient" hidden="1">"TRUE"</definedName>
    <definedName name="STWBD_StatToolsScatterplot_HasDefaultInfo" hidden="1">"TRUE"</definedName>
    <definedName name="STWBD_StatToolsScatterplot_VarSelectorDefaultDataSet" hidden="1">"DG810C2A5"</definedName>
    <definedName name="STWBD_StatToolsScatterplot_XVariableList" hidden="1">1</definedName>
    <definedName name="STWBD_StatToolsScatterplot_XVariableList_1" hidden="1">"U_x0001_VG55D4977_x0001_"</definedName>
    <definedName name="STWBD_StatToolsScatterplot_YVariableList" hidden="1">1</definedName>
    <definedName name="STWBD_StatToolsScatterplot_YVariableList_1" hidden="1">"U_x0001_VG39F74005_x0001_"</definedName>
    <definedName name="STWBD_StatToolsTimeSeriesGraph_DefaultUseLabelVariable" hidden="1">"TRUE"</definedName>
    <definedName name="STWBD_StatToolsTimeSeriesGraph_HasDefaultInfo" hidden="1">"TRUE"</definedName>
    <definedName name="STWBD_StatToolsTimeSeriesGraph_LabelVariable" hidden="1">"U_x0001_VG15EAE029_x0001_"</definedName>
    <definedName name="STWBD_StatToolsTimeSeriesGraph_SingleGraph" hidden="1">"FALSE"</definedName>
    <definedName name="STWBD_StatToolsTimeSeriesGraph_TwoVerticalAxes" hidden="1">"FALSE"</definedName>
    <definedName name="STWBD_StatToolsTimeSeriesGraph_VariableList" hidden="1">1</definedName>
    <definedName name="STWBD_StatToolsTimeSeriesGraph_VariableList_1" hidden="1">"U_x0001_VG55D4977_x0001_"</definedName>
    <definedName name="STWBD_StatToolsTimeSeriesGraph_VarSelectorDefaultDataSet" hidden="1">"DG810C2A5"</definedName>
  </definedNames>
  <calcPr calcId="152511" iterate="1"/>
</workbook>
</file>

<file path=xl/calcChain.xml><?xml version="1.0" encoding="utf-8"?>
<calcChain xmlns="http://schemas.openxmlformats.org/spreadsheetml/2006/main">
  <c r="B9" i="10" l="1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C84" i="8" s="1"/>
  <c r="B142" i="7"/>
  <c r="B141" i="7"/>
  <c r="B140" i="7"/>
  <c r="B139" i="7"/>
  <c r="B138" i="7"/>
  <c r="B137" i="7"/>
  <c r="B136" i="7"/>
  <c r="B135" i="7"/>
  <c r="B134" i="7"/>
  <c r="B133" i="7"/>
  <c r="B132" i="7"/>
  <c r="B131" i="7"/>
  <c r="B130" i="7"/>
  <c r="B129" i="7"/>
  <c r="B128" i="7"/>
  <c r="B127" i="7"/>
  <c r="B126" i="7"/>
  <c r="B125" i="7"/>
  <c r="B124" i="7"/>
  <c r="B123" i="7"/>
  <c r="B122" i="7"/>
  <c r="B121" i="7"/>
  <c r="B120" i="7"/>
  <c r="B119" i="7"/>
  <c r="B118" i="7"/>
  <c r="B117" i="7"/>
  <c r="B116" i="7"/>
  <c r="B115" i="7"/>
  <c r="B114" i="7"/>
  <c r="B113" i="7"/>
  <c r="B112" i="7"/>
  <c r="B111" i="7"/>
  <c r="B110" i="7"/>
  <c r="B109" i="7"/>
  <c r="B108" i="7"/>
  <c r="B107" i="7"/>
  <c r="B106" i="7"/>
  <c r="B105" i="7"/>
  <c r="B104" i="7"/>
  <c r="B103" i="7"/>
  <c r="B102" i="7"/>
  <c r="B101" i="7"/>
  <c r="B100" i="7"/>
  <c r="B99" i="7"/>
  <c r="B98" i="7"/>
  <c r="B97" i="7"/>
  <c r="B96" i="7"/>
  <c r="B95" i="7"/>
  <c r="B94" i="7"/>
  <c r="B93" i="7"/>
  <c r="B92" i="7"/>
  <c r="B91" i="7"/>
  <c r="B90" i="7"/>
  <c r="B89" i="7"/>
  <c r="B88" i="7"/>
  <c r="B87" i="7"/>
  <c r="B86" i="7"/>
  <c r="B85" i="7"/>
  <c r="B84" i="7"/>
  <c r="B83" i="7"/>
  <c r="C83" i="7" s="1"/>
  <c r="D84" i="7" s="1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22" i="10"/>
  <c r="B19" i="10"/>
  <c r="B16" i="10"/>
  <c r="B13" i="10"/>
  <c r="B7" i="10"/>
  <c r="B3" i="10"/>
  <c r="C121" i="6"/>
  <c r="C136" i="6"/>
  <c r="C104" i="6"/>
  <c r="C121" i="5"/>
  <c r="C89" i="5"/>
  <c r="C114" i="5"/>
  <c r="C136" i="4"/>
  <c r="C104" i="4"/>
  <c r="C131" i="4"/>
  <c r="C99" i="4"/>
  <c r="C127" i="6"/>
  <c r="C95" i="6"/>
  <c r="C114" i="6"/>
  <c r="C131" i="5"/>
  <c r="C99" i="5"/>
  <c r="C124" i="5"/>
  <c r="C92" i="5"/>
  <c r="C114" i="4"/>
  <c r="C141" i="4"/>
  <c r="C109" i="4"/>
  <c r="C118" i="5"/>
  <c r="C118" i="6"/>
  <c r="C86" i="4"/>
  <c r="C117" i="6"/>
  <c r="C132" i="6"/>
  <c r="C100" i="6"/>
  <c r="C117" i="5"/>
  <c r="C142" i="5"/>
  <c r="C110" i="5"/>
  <c r="C132" i="4"/>
  <c r="C100" i="4"/>
  <c r="C127" i="4"/>
  <c r="C95" i="4"/>
  <c r="C123" i="6"/>
  <c r="C142" i="6"/>
  <c r="C110" i="6"/>
  <c r="C127" i="5"/>
  <c r="C95" i="5"/>
  <c r="C120" i="5"/>
  <c r="C142" i="4"/>
  <c r="C110" i="4"/>
  <c r="C137" i="4"/>
  <c r="C105" i="4"/>
  <c r="C108" i="6"/>
  <c r="C108" i="4"/>
  <c r="C103" i="5"/>
  <c r="C113" i="6"/>
  <c r="C128" i="6"/>
  <c r="C96" i="6"/>
  <c r="C113" i="5"/>
  <c r="C138" i="5"/>
  <c r="C106" i="5"/>
  <c r="C128" i="4"/>
  <c r="C96" i="4"/>
  <c r="C123" i="4"/>
  <c r="C91" i="4"/>
  <c r="C119" i="6"/>
  <c r="C138" i="6"/>
  <c r="C106" i="6"/>
  <c r="C123" i="5"/>
  <c r="C91" i="5"/>
  <c r="C116" i="5"/>
  <c r="C138" i="4"/>
  <c r="C106" i="4"/>
  <c r="C133" i="4"/>
  <c r="C101" i="4"/>
  <c r="C125" i="6"/>
  <c r="C99" i="6"/>
  <c r="C141" i="6"/>
  <c r="C109" i="6"/>
  <c r="C124" i="6"/>
  <c r="C141" i="5"/>
  <c r="C109" i="5"/>
  <c r="C134" i="5"/>
  <c r="C102" i="5"/>
  <c r="C124" i="4"/>
  <c r="C92" i="4"/>
  <c r="C119" i="4"/>
  <c r="C87" i="4"/>
  <c r="C115" i="6"/>
  <c r="C134" i="6"/>
  <c r="C102" i="6"/>
  <c r="C119" i="5"/>
  <c r="C112" i="5"/>
  <c r="C134" i="4"/>
  <c r="C102" i="4"/>
  <c r="C129" i="4"/>
  <c r="C97" i="4"/>
  <c r="C125" i="5"/>
  <c r="C135" i="4"/>
  <c r="C128" i="5"/>
  <c r="C137" i="6"/>
  <c r="C105" i="6"/>
  <c r="C120" i="6"/>
  <c r="C137" i="5"/>
  <c r="C105" i="5"/>
  <c r="C130" i="5"/>
  <c r="C98" i="5"/>
  <c r="C120" i="4"/>
  <c r="C88" i="4"/>
  <c r="C115" i="4"/>
  <c r="C143" i="6"/>
  <c r="C111" i="6"/>
  <c r="C130" i="6"/>
  <c r="C98" i="6"/>
  <c r="C115" i="5"/>
  <c r="C140" i="5"/>
  <c r="C108" i="5"/>
  <c r="C130" i="4"/>
  <c r="C98" i="4"/>
  <c r="C125" i="4"/>
  <c r="C93" i="4"/>
  <c r="C140" i="6"/>
  <c r="C131" i="6"/>
  <c r="C118" i="4"/>
  <c r="C133" i="6"/>
  <c r="C101" i="6"/>
  <c r="C116" i="6"/>
  <c r="C133" i="5"/>
  <c r="C101" i="5"/>
  <c r="C126" i="5"/>
  <c r="C94" i="5"/>
  <c r="C116" i="4"/>
  <c r="C143" i="4"/>
  <c r="C111" i="4"/>
  <c r="C139" i="6"/>
  <c r="C107" i="6"/>
  <c r="C126" i="6"/>
  <c r="C143" i="5"/>
  <c r="C144" i="5" s="1"/>
  <c r="C111" i="5"/>
  <c r="C136" i="5"/>
  <c r="C104" i="5"/>
  <c r="C126" i="4"/>
  <c r="C94" i="4"/>
  <c r="C121" i="4"/>
  <c r="C89" i="4"/>
  <c r="C140" i="4"/>
  <c r="C135" i="5"/>
  <c r="C113" i="4"/>
  <c r="C129" i="6"/>
  <c r="C97" i="6"/>
  <c r="C112" i="6"/>
  <c r="C129" i="5"/>
  <c r="C97" i="5"/>
  <c r="C122" i="5"/>
  <c r="C90" i="5"/>
  <c r="C112" i="4"/>
  <c r="C139" i="4"/>
  <c r="C107" i="4"/>
  <c r="C135" i="6"/>
  <c r="C103" i="6"/>
  <c r="C122" i="6"/>
  <c r="C139" i="5"/>
  <c r="C107" i="5"/>
  <c r="C132" i="5"/>
  <c r="C100" i="5"/>
  <c r="C122" i="4"/>
  <c r="C90" i="4"/>
  <c r="C117" i="4"/>
  <c r="C93" i="5"/>
  <c r="C103" i="4"/>
  <c r="C96" i="5"/>
  <c r="D84" i="8" l="1"/>
  <c r="E85" i="8" s="1"/>
  <c r="F85" i="8" s="1"/>
  <c r="E84" i="7"/>
  <c r="C84" i="7"/>
  <c r="D85" i="7" s="1"/>
  <c r="E85" i="7" s="1"/>
  <c r="D95" i="6"/>
  <c r="D97" i="6"/>
  <c r="D99" i="6"/>
  <c r="D101" i="6"/>
  <c r="D103" i="6"/>
  <c r="D105" i="6"/>
  <c r="D107" i="6"/>
  <c r="D109" i="6"/>
  <c r="D111" i="6"/>
  <c r="D113" i="6"/>
  <c r="D115" i="6"/>
  <c r="D117" i="6"/>
  <c r="D119" i="6"/>
  <c r="D121" i="6"/>
  <c r="D123" i="6"/>
  <c r="D125" i="6"/>
  <c r="D127" i="6"/>
  <c r="D129" i="6"/>
  <c r="D131" i="6"/>
  <c r="D133" i="6"/>
  <c r="D135" i="6"/>
  <c r="D137" i="6"/>
  <c r="D139" i="6"/>
  <c r="D141" i="6"/>
  <c r="D96" i="6"/>
  <c r="D98" i="6"/>
  <c r="D100" i="6"/>
  <c r="D102" i="6"/>
  <c r="D104" i="6"/>
  <c r="D106" i="6"/>
  <c r="D108" i="6"/>
  <c r="D110" i="6"/>
  <c r="D112" i="6"/>
  <c r="D114" i="6"/>
  <c r="D116" i="6"/>
  <c r="D118" i="6"/>
  <c r="D120" i="6"/>
  <c r="D122" i="6"/>
  <c r="D124" i="6"/>
  <c r="D126" i="6"/>
  <c r="D128" i="6"/>
  <c r="D130" i="6"/>
  <c r="D132" i="6"/>
  <c r="D134" i="6"/>
  <c r="D136" i="6"/>
  <c r="D138" i="6"/>
  <c r="D140" i="6"/>
  <c r="D142" i="6"/>
  <c r="D89" i="5"/>
  <c r="D91" i="5"/>
  <c r="D93" i="5"/>
  <c r="D95" i="5"/>
  <c r="D97" i="5"/>
  <c r="D99" i="5"/>
  <c r="D101" i="5"/>
  <c r="D103" i="5"/>
  <c r="D105" i="5"/>
  <c r="D107" i="5"/>
  <c r="D109" i="5"/>
  <c r="D111" i="5"/>
  <c r="D113" i="5"/>
  <c r="D115" i="5"/>
  <c r="D117" i="5"/>
  <c r="D119" i="5"/>
  <c r="D121" i="5"/>
  <c r="D123" i="5"/>
  <c r="D125" i="5"/>
  <c r="D127" i="5"/>
  <c r="D129" i="5"/>
  <c r="D131" i="5"/>
  <c r="D133" i="5"/>
  <c r="D135" i="5"/>
  <c r="D137" i="5"/>
  <c r="D139" i="5"/>
  <c r="D141" i="5"/>
  <c r="D90" i="5"/>
  <c r="D92" i="5"/>
  <c r="D94" i="5"/>
  <c r="D96" i="5"/>
  <c r="D98" i="5"/>
  <c r="D100" i="5"/>
  <c r="D102" i="5"/>
  <c r="D104" i="5"/>
  <c r="D106" i="5"/>
  <c r="D108" i="5"/>
  <c r="D110" i="5"/>
  <c r="D112" i="5"/>
  <c r="D114" i="5"/>
  <c r="D116" i="5"/>
  <c r="D118" i="5"/>
  <c r="D120" i="5"/>
  <c r="D122" i="5"/>
  <c r="D124" i="5"/>
  <c r="D126" i="5"/>
  <c r="D128" i="5"/>
  <c r="D130" i="5"/>
  <c r="D132" i="5"/>
  <c r="D134" i="5"/>
  <c r="D136" i="5"/>
  <c r="D138" i="5"/>
  <c r="D140" i="5"/>
  <c r="D142" i="5"/>
  <c r="D87" i="4"/>
  <c r="D89" i="4"/>
  <c r="D91" i="4"/>
  <c r="D93" i="4"/>
  <c r="D95" i="4"/>
  <c r="D97" i="4"/>
  <c r="D99" i="4"/>
  <c r="D101" i="4"/>
  <c r="D103" i="4"/>
  <c r="D105" i="4"/>
  <c r="D107" i="4"/>
  <c r="D109" i="4"/>
  <c r="D111" i="4"/>
  <c r="D113" i="4"/>
  <c r="D115" i="4"/>
  <c r="D117" i="4"/>
  <c r="D119" i="4"/>
  <c r="D121" i="4"/>
  <c r="D123" i="4"/>
  <c r="D125" i="4"/>
  <c r="D127" i="4"/>
  <c r="D129" i="4"/>
  <c r="D131" i="4"/>
  <c r="D133" i="4"/>
  <c r="D135" i="4"/>
  <c r="D137" i="4"/>
  <c r="D139" i="4"/>
  <c r="D141" i="4"/>
  <c r="D86" i="4"/>
  <c r="D88" i="4"/>
  <c r="D90" i="4"/>
  <c r="D92" i="4"/>
  <c r="D94" i="4"/>
  <c r="D96" i="4"/>
  <c r="D98" i="4"/>
  <c r="D100" i="4"/>
  <c r="D102" i="4"/>
  <c r="D104" i="4"/>
  <c r="D106" i="4"/>
  <c r="D108" i="4"/>
  <c r="D110" i="4"/>
  <c r="D112" i="4"/>
  <c r="D114" i="4"/>
  <c r="D116" i="4"/>
  <c r="D118" i="4"/>
  <c r="D120" i="4"/>
  <c r="D122" i="4"/>
  <c r="D124" i="4"/>
  <c r="D126" i="4"/>
  <c r="D128" i="4"/>
  <c r="D130" i="4"/>
  <c r="D132" i="4"/>
  <c r="D134" i="4"/>
  <c r="D136" i="4"/>
  <c r="D138" i="4"/>
  <c r="D140" i="4"/>
  <c r="D142" i="4"/>
  <c r="C144" i="6"/>
  <c r="C144" i="4"/>
  <c r="C85" i="8" l="1"/>
  <c r="D85" i="8" s="1"/>
  <c r="C86" i="8" s="1"/>
  <c r="C85" i="7"/>
  <c r="D86" i="7" s="1"/>
  <c r="E86" i="7" s="1"/>
  <c r="B14" i="4"/>
  <c r="B14" i="5"/>
  <c r="B14" i="6"/>
  <c r="E86" i="8" l="1"/>
  <c r="F86" i="8" s="1"/>
  <c r="D86" i="8"/>
  <c r="E87" i="8" s="1"/>
  <c r="F87" i="8" s="1"/>
  <c r="C86" i="7"/>
  <c r="D87" i="7" s="1"/>
  <c r="E87" i="7" s="1"/>
  <c r="C87" i="8" l="1"/>
  <c r="C87" i="7"/>
  <c r="D88" i="7" s="1"/>
  <c r="E88" i="7" s="1"/>
  <c r="D87" i="8" l="1"/>
  <c r="E88" i="8" s="1"/>
  <c r="F88" i="8" s="1"/>
  <c r="C88" i="7"/>
  <c r="D89" i="7" s="1"/>
  <c r="E89" i="7" s="1"/>
  <c r="C88" i="8" l="1"/>
  <c r="D88" i="8" s="1"/>
  <c r="E89" i="8" s="1"/>
  <c r="F89" i="8" s="1"/>
  <c r="C89" i="7"/>
  <c r="D90" i="7" s="1"/>
  <c r="E90" i="7" s="1"/>
  <c r="C89" i="8" l="1"/>
  <c r="C90" i="7"/>
  <c r="D91" i="7" s="1"/>
  <c r="E91" i="7" s="1"/>
  <c r="D89" i="8" l="1"/>
  <c r="E90" i="8" s="1"/>
  <c r="F90" i="8" s="1"/>
  <c r="C91" i="7"/>
  <c r="D92" i="7" s="1"/>
  <c r="E92" i="7" s="1"/>
  <c r="C90" i="8" l="1"/>
  <c r="D90" i="8" s="1"/>
  <c r="E91" i="8" s="1"/>
  <c r="F91" i="8" s="1"/>
  <c r="C92" i="7"/>
  <c r="D93" i="7" s="1"/>
  <c r="E93" i="7" s="1"/>
  <c r="C91" i="8" l="1"/>
  <c r="C93" i="7"/>
  <c r="D94" i="7" s="1"/>
  <c r="E94" i="7" s="1"/>
  <c r="D91" i="8" l="1"/>
  <c r="E92" i="8" s="1"/>
  <c r="F92" i="8" s="1"/>
  <c r="C94" i="7"/>
  <c r="D95" i="7" s="1"/>
  <c r="E95" i="7" s="1"/>
  <c r="C92" i="8" l="1"/>
  <c r="C95" i="7"/>
  <c r="D96" i="7" s="1"/>
  <c r="E96" i="7" s="1"/>
  <c r="D92" i="8" l="1"/>
  <c r="E93" i="8" s="1"/>
  <c r="F93" i="8" s="1"/>
  <c r="C96" i="7"/>
  <c r="D97" i="7" s="1"/>
  <c r="E97" i="7" s="1"/>
  <c r="C93" i="8" l="1"/>
  <c r="C97" i="7"/>
  <c r="D98" i="7" s="1"/>
  <c r="E98" i="7" s="1"/>
  <c r="D93" i="8" l="1"/>
  <c r="E94" i="8" s="1"/>
  <c r="F94" i="8" s="1"/>
  <c r="C98" i="7"/>
  <c r="D99" i="7" s="1"/>
  <c r="E99" i="7" s="1"/>
  <c r="C94" i="8" l="1"/>
  <c r="C99" i="7"/>
  <c r="D100" i="7" s="1"/>
  <c r="E100" i="7" s="1"/>
  <c r="D94" i="8" l="1"/>
  <c r="E95" i="8" s="1"/>
  <c r="F95" i="8" s="1"/>
  <c r="C100" i="7"/>
  <c r="D101" i="7" s="1"/>
  <c r="E101" i="7" s="1"/>
  <c r="C101" i="7"/>
  <c r="C95" i="8" l="1"/>
  <c r="D102" i="7"/>
  <c r="E102" i="7" s="1"/>
  <c r="C102" i="7"/>
  <c r="D95" i="8" l="1"/>
  <c r="E96" i="8" s="1"/>
  <c r="F96" i="8" s="1"/>
  <c r="D103" i="7"/>
  <c r="E103" i="7" s="1"/>
  <c r="C103" i="7"/>
  <c r="C96" i="8" l="1"/>
  <c r="D96" i="8" s="1"/>
  <c r="D104" i="7"/>
  <c r="E104" i="7" s="1"/>
  <c r="C104" i="7"/>
  <c r="E97" i="8" l="1"/>
  <c r="F97" i="8" s="1"/>
  <c r="C97" i="8"/>
  <c r="D97" i="8" s="1"/>
  <c r="E98" i="8" s="1"/>
  <c r="F98" i="8" s="1"/>
  <c r="D105" i="7"/>
  <c r="E105" i="7" s="1"/>
  <c r="C105" i="7"/>
  <c r="C98" i="8" l="1"/>
  <c r="D106" i="7"/>
  <c r="E106" i="7" s="1"/>
  <c r="C106" i="7"/>
  <c r="D98" i="8" l="1"/>
  <c r="E99" i="8" s="1"/>
  <c r="F99" i="8" s="1"/>
  <c r="D107" i="7"/>
  <c r="E107" i="7" s="1"/>
  <c r="C107" i="7"/>
  <c r="C99" i="8" l="1"/>
  <c r="D108" i="7"/>
  <c r="E108" i="7" s="1"/>
  <c r="C108" i="7"/>
  <c r="D99" i="8" l="1"/>
  <c r="E100" i="8" s="1"/>
  <c r="F100" i="8" s="1"/>
  <c r="D109" i="7"/>
  <c r="E109" i="7" s="1"/>
  <c r="C109" i="7"/>
  <c r="C100" i="8" l="1"/>
  <c r="D110" i="7"/>
  <c r="E110" i="7" s="1"/>
  <c r="C110" i="7"/>
  <c r="D100" i="8" l="1"/>
  <c r="E101" i="8" s="1"/>
  <c r="F101" i="8" s="1"/>
  <c r="D111" i="7"/>
  <c r="E111" i="7" s="1"/>
  <c r="C111" i="7"/>
  <c r="C101" i="8" l="1"/>
  <c r="D112" i="7"/>
  <c r="E112" i="7" s="1"/>
  <c r="C112" i="7"/>
  <c r="D101" i="8" l="1"/>
  <c r="E102" i="8" s="1"/>
  <c r="F102" i="8" s="1"/>
  <c r="D113" i="7"/>
  <c r="E113" i="7" s="1"/>
  <c r="C113" i="7"/>
  <c r="C102" i="8" l="1"/>
  <c r="D114" i="7"/>
  <c r="E114" i="7" s="1"/>
  <c r="C114" i="7"/>
  <c r="D102" i="8" l="1"/>
  <c r="E103" i="8" s="1"/>
  <c r="F103" i="8" s="1"/>
  <c r="D115" i="7"/>
  <c r="E115" i="7" s="1"/>
  <c r="C115" i="7"/>
  <c r="C103" i="8" l="1"/>
  <c r="D103" i="8" s="1"/>
  <c r="E104" i="8" s="1"/>
  <c r="F104" i="8" s="1"/>
  <c r="D116" i="7"/>
  <c r="E116" i="7" s="1"/>
  <c r="C116" i="7"/>
  <c r="C104" i="8" l="1"/>
  <c r="D117" i="7"/>
  <c r="E117" i="7" s="1"/>
  <c r="C117" i="7"/>
  <c r="D104" i="8" l="1"/>
  <c r="E105" i="8" s="1"/>
  <c r="F105" i="8" s="1"/>
  <c r="D118" i="7"/>
  <c r="E118" i="7" s="1"/>
  <c r="C118" i="7"/>
  <c r="C105" i="8" l="1"/>
  <c r="D119" i="7"/>
  <c r="E119" i="7" s="1"/>
  <c r="C119" i="7"/>
  <c r="D105" i="8" l="1"/>
  <c r="E106" i="8" s="1"/>
  <c r="F106" i="8" s="1"/>
  <c r="D120" i="7"/>
  <c r="E120" i="7" s="1"/>
  <c r="C120" i="7"/>
  <c r="C106" i="8" l="1"/>
  <c r="D121" i="7"/>
  <c r="E121" i="7" s="1"/>
  <c r="C121" i="7"/>
  <c r="D106" i="8" l="1"/>
  <c r="E107" i="8" s="1"/>
  <c r="F107" i="8" s="1"/>
  <c r="D122" i="7"/>
  <c r="E122" i="7" s="1"/>
  <c r="C122" i="7"/>
  <c r="C107" i="8" l="1"/>
  <c r="D123" i="7"/>
  <c r="E123" i="7" s="1"/>
  <c r="C123" i="7"/>
  <c r="D107" i="8" l="1"/>
  <c r="E108" i="8" s="1"/>
  <c r="F108" i="8" s="1"/>
  <c r="D124" i="7"/>
  <c r="E124" i="7" s="1"/>
  <c r="C124" i="7"/>
  <c r="C108" i="8" l="1"/>
  <c r="D125" i="7"/>
  <c r="E125" i="7" s="1"/>
  <c r="C125" i="7"/>
  <c r="D108" i="8" l="1"/>
  <c r="E109" i="8" s="1"/>
  <c r="F109" i="8" s="1"/>
  <c r="D126" i="7"/>
  <c r="E126" i="7" s="1"/>
  <c r="C126" i="7"/>
  <c r="C109" i="8" l="1"/>
  <c r="D109" i="8" s="1"/>
  <c r="E110" i="8" s="1"/>
  <c r="F110" i="8" s="1"/>
  <c r="D127" i="7"/>
  <c r="E127" i="7" s="1"/>
  <c r="C127" i="7"/>
  <c r="C110" i="8" l="1"/>
  <c r="D110" i="8" s="1"/>
  <c r="E111" i="8" s="1"/>
  <c r="F111" i="8" s="1"/>
  <c r="D128" i="7"/>
  <c r="E128" i="7" s="1"/>
  <c r="C128" i="7"/>
  <c r="C111" i="8" l="1"/>
  <c r="D111" i="8" s="1"/>
  <c r="E112" i="8" s="1"/>
  <c r="F112" i="8" s="1"/>
  <c r="D129" i="7"/>
  <c r="E129" i="7" s="1"/>
  <c r="C129" i="7"/>
  <c r="C112" i="8" l="1"/>
  <c r="D112" i="8" s="1"/>
  <c r="E113" i="8" s="1"/>
  <c r="F113" i="8" s="1"/>
  <c r="D130" i="7"/>
  <c r="E130" i="7" s="1"/>
  <c r="C130" i="7"/>
  <c r="C113" i="8" l="1"/>
  <c r="D131" i="7"/>
  <c r="E131" i="7" s="1"/>
  <c r="C131" i="7"/>
  <c r="D113" i="8" l="1"/>
  <c r="E114" i="8" s="1"/>
  <c r="F114" i="8" s="1"/>
  <c r="D132" i="7"/>
  <c r="E132" i="7" s="1"/>
  <c r="C132" i="7"/>
  <c r="C114" i="8" l="1"/>
  <c r="D114" i="8" s="1"/>
  <c r="E115" i="8" s="1"/>
  <c r="F115" i="8" s="1"/>
  <c r="D133" i="7"/>
  <c r="E133" i="7" s="1"/>
  <c r="C133" i="7"/>
  <c r="C115" i="8" l="1"/>
  <c r="D115" i="8" s="1"/>
  <c r="E116" i="8" s="1"/>
  <c r="F116" i="8" s="1"/>
  <c r="D134" i="7"/>
  <c r="E134" i="7" s="1"/>
  <c r="C134" i="7"/>
  <c r="C116" i="8" l="1"/>
  <c r="D116" i="8" s="1"/>
  <c r="D135" i="7"/>
  <c r="E135" i="7" s="1"/>
  <c r="C135" i="7"/>
  <c r="E117" i="8" l="1"/>
  <c r="F117" i="8" s="1"/>
  <c r="C117" i="8"/>
  <c r="D117" i="8" s="1"/>
  <c r="D136" i="7"/>
  <c r="E136" i="7" s="1"/>
  <c r="C136" i="7"/>
  <c r="E118" i="8" l="1"/>
  <c r="F118" i="8" s="1"/>
  <c r="C118" i="8"/>
  <c r="D118" i="8" s="1"/>
  <c r="E119" i="8" s="1"/>
  <c r="F119" i="8" s="1"/>
  <c r="D137" i="7"/>
  <c r="E137" i="7" s="1"/>
  <c r="C137" i="7"/>
  <c r="C119" i="8" l="1"/>
  <c r="D119" i="8" s="1"/>
  <c r="E120" i="8" s="1"/>
  <c r="F120" i="8" s="1"/>
  <c r="D138" i="7"/>
  <c r="E138" i="7" s="1"/>
  <c r="C138" i="7"/>
  <c r="C120" i="8" l="1"/>
  <c r="D139" i="7"/>
  <c r="E139" i="7" s="1"/>
  <c r="C139" i="7"/>
  <c r="D120" i="8" l="1"/>
  <c r="E121" i="8" s="1"/>
  <c r="F121" i="8" s="1"/>
  <c r="D140" i="7"/>
  <c r="E140" i="7" s="1"/>
  <c r="C140" i="7"/>
  <c r="C121" i="8" l="1"/>
  <c r="D141" i="7"/>
  <c r="E141" i="7" s="1"/>
  <c r="C141" i="7"/>
  <c r="D121" i="8" l="1"/>
  <c r="E122" i="8" s="1"/>
  <c r="F122" i="8" s="1"/>
  <c r="D142" i="7"/>
  <c r="E142" i="7" s="1"/>
  <c r="C142" i="7"/>
  <c r="B14" i="7"/>
  <c r="C122" i="8" l="1"/>
  <c r="D154" i="7"/>
  <c r="D152" i="7"/>
  <c r="D150" i="7"/>
  <c r="D148" i="7"/>
  <c r="D146" i="7"/>
  <c r="D144" i="7"/>
  <c r="D153" i="7"/>
  <c r="D151" i="7"/>
  <c r="D149" i="7"/>
  <c r="D147" i="7"/>
  <c r="D145" i="7"/>
  <c r="D143" i="7"/>
  <c r="D122" i="8" l="1"/>
  <c r="E123" i="8" s="1"/>
  <c r="F123" i="8" s="1"/>
  <c r="B15" i="5"/>
  <c r="B13" i="4"/>
  <c r="C145" i="5"/>
  <c r="C145" i="6"/>
  <c r="B15" i="7"/>
  <c r="B13" i="5"/>
  <c r="B15" i="6"/>
  <c r="B13" i="6"/>
  <c r="B13" i="7"/>
  <c r="B15" i="4"/>
  <c r="C146" i="5"/>
  <c r="C147" i="5"/>
  <c r="C145" i="4"/>
  <c r="C146" i="6"/>
  <c r="C147" i="6"/>
  <c r="C148" i="5"/>
  <c r="C148" i="6"/>
  <c r="C149" i="5"/>
  <c r="C150" i="5"/>
  <c r="C149" i="6"/>
  <c r="C150" i="6"/>
  <c r="C151" i="6"/>
  <c r="C152" i="6"/>
  <c r="C153" i="6"/>
  <c r="C123" i="8" l="1"/>
  <c r="C154" i="6"/>
  <c r="C151" i="5"/>
  <c r="C146" i="4"/>
  <c r="C147" i="4" s="1"/>
  <c r="D123" i="8" l="1"/>
  <c r="E124" i="8" s="1"/>
  <c r="F124" i="8" s="1"/>
  <c r="C124" i="8" l="1"/>
  <c r="D124" i="8" l="1"/>
  <c r="E125" i="8" s="1"/>
  <c r="F125" i="8" s="1"/>
  <c r="C125" i="8" l="1"/>
  <c r="D125" i="8" s="1"/>
  <c r="E126" i="8" s="1"/>
  <c r="F126" i="8" s="1"/>
  <c r="C126" i="8" l="1"/>
  <c r="D126" i="8" l="1"/>
  <c r="E127" i="8" s="1"/>
  <c r="F127" i="8" s="1"/>
  <c r="C127" i="8" l="1"/>
  <c r="D127" i="8" l="1"/>
  <c r="E128" i="8" s="1"/>
  <c r="F128" i="8" s="1"/>
  <c r="C128" i="8" l="1"/>
  <c r="D128" i="8" l="1"/>
  <c r="E129" i="8" s="1"/>
  <c r="F129" i="8" s="1"/>
  <c r="C129" i="8" l="1"/>
  <c r="D129" i="8" l="1"/>
  <c r="E130" i="8" s="1"/>
  <c r="F130" i="8" s="1"/>
  <c r="C130" i="8" l="1"/>
  <c r="D130" i="8" l="1"/>
  <c r="E131" i="8" s="1"/>
  <c r="F131" i="8" s="1"/>
  <c r="C131" i="8" l="1"/>
  <c r="D131" i="8" s="1"/>
  <c r="E132" i="8" l="1"/>
  <c r="F132" i="8" s="1"/>
  <c r="C132" i="8"/>
  <c r="D132" i="8" s="1"/>
  <c r="E133" i="8" s="1"/>
  <c r="F133" i="8" s="1"/>
  <c r="C133" i="8" l="1"/>
  <c r="D133" i="8" l="1"/>
  <c r="E134" i="8" s="1"/>
  <c r="F134" i="8" s="1"/>
  <c r="C134" i="8" l="1"/>
  <c r="D134" i="8" l="1"/>
  <c r="E135" i="8" s="1"/>
  <c r="F135" i="8" s="1"/>
  <c r="C135" i="8" l="1"/>
  <c r="D135" i="8" l="1"/>
  <c r="E136" i="8" s="1"/>
  <c r="F136" i="8" s="1"/>
  <c r="C136" i="8" l="1"/>
  <c r="D136" i="8" l="1"/>
  <c r="E137" i="8" s="1"/>
  <c r="F137" i="8" s="1"/>
  <c r="C137" i="8" l="1"/>
  <c r="D137" i="8" l="1"/>
  <c r="E138" i="8" s="1"/>
  <c r="F138" i="8" s="1"/>
  <c r="C138" i="8" l="1"/>
  <c r="D138" i="8" s="1"/>
  <c r="E139" i="8" s="1"/>
  <c r="F139" i="8" s="1"/>
  <c r="C139" i="8" l="1"/>
  <c r="D139" i="8" l="1"/>
  <c r="E140" i="8" s="1"/>
  <c r="F140" i="8" s="1"/>
  <c r="C140" i="8" l="1"/>
  <c r="D140" i="8" l="1"/>
  <c r="E141" i="8" s="1"/>
  <c r="F141" i="8" s="1"/>
  <c r="C141" i="8" l="1"/>
  <c r="D141" i="8" l="1"/>
  <c r="E142" i="8" s="1"/>
  <c r="F142" i="8" s="1"/>
  <c r="C142" i="8" l="1"/>
  <c r="D142" i="8" l="1"/>
  <c r="E143" i="8" s="1"/>
  <c r="F143" i="8" s="1"/>
  <c r="B15" i="8"/>
  <c r="C143" i="8" l="1"/>
  <c r="D143" i="8" l="1"/>
  <c r="E153" i="8" s="1"/>
  <c r="E146" i="8" l="1"/>
  <c r="E154" i="8"/>
  <c r="E147" i="8"/>
  <c r="E151" i="8"/>
  <c r="E155" i="8"/>
  <c r="E150" i="8"/>
  <c r="E144" i="8"/>
  <c r="E148" i="8"/>
  <c r="E152" i="8"/>
  <c r="E145" i="8"/>
  <c r="E149" i="8"/>
  <c r="B16" i="8"/>
  <c r="B14" i="8"/>
  <c r="C152" i="5" l="1"/>
  <c r="C148" i="4"/>
  <c r="C153" i="5"/>
  <c r="C154" i="5" s="1"/>
  <c r="C149" i="4"/>
  <c r="C150" i="4" s="1"/>
  <c r="C151" i="4"/>
  <c r="C152" i="4"/>
  <c r="C153" i="4"/>
  <c r="C154" i="4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A9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number of observations included in each moving average forecast.</t>
        </r>
      </text>
    </comment>
    <comment ref="A1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average of absolute forecast errors.</t>
        </r>
      </text>
    </comment>
    <comment ref="A14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square root of the sum of squared forecast errors.</t>
        </r>
      </text>
    </comment>
    <comment ref="A15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average of the absolute percentage forecast errors.</t>
        </r>
      </text>
    </comment>
    <comment ref="B142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future forecasting period begins here (below the line)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A9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number of observations included in each moving average forecast.</t>
        </r>
      </text>
    </comment>
    <comment ref="A1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average of absolute forecast errors.</t>
        </r>
      </text>
    </comment>
    <comment ref="A14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square root of the sum of squared forecast errors.</t>
        </r>
      </text>
    </comment>
    <comment ref="A15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average of the absolute percentage forecast errors.</t>
        </r>
      </text>
    </comment>
    <comment ref="B142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future forecasting period begins here (below the line)</t>
        </r>
      </text>
    </comment>
  </commentList>
</comments>
</file>

<file path=xl/comments3.xml><?xml version="1.0" encoding="utf-8"?>
<comments xmlns="http://schemas.openxmlformats.org/spreadsheetml/2006/main">
  <authors>
    <author xml:space="preserve"> Chris Albright</author>
  </authors>
  <commentList>
    <comment ref="A9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number of observations included in each moving average forecast.</t>
        </r>
      </text>
    </comment>
    <comment ref="A1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average of absolute forecast errors.</t>
        </r>
      </text>
    </comment>
    <comment ref="A14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square root of the sum of squared forecast errors.</t>
        </r>
      </text>
    </comment>
    <comment ref="A15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average of the absolute percentage forecast errors.</t>
        </r>
      </text>
    </comment>
    <comment ref="B142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future forecasting period begins here (below the line)</t>
        </r>
      </text>
    </comment>
  </commentList>
</comments>
</file>

<file path=xl/comments4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These constants are calculated to minimize Root Mean Sq Error if Optimize option is chosen.</t>
        </r>
      </text>
    </comment>
    <comment ref="A1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average of absolute forecast errors.</t>
        </r>
      </text>
    </comment>
    <comment ref="A14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square root of the sum of squared forecast errors.</t>
        </r>
      </text>
    </comment>
    <comment ref="A15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average of the absolute percentage forecast errors.</t>
        </r>
      </text>
    </comment>
    <comment ref="B142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future forecasting period begins here (below the line)</t>
        </r>
      </text>
    </comment>
  </commentList>
</comments>
</file>

<file path=xl/comments5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These constants are calculated to minimize Root Mean Sq Error if Optimize option is chosen.</t>
        </r>
      </text>
    </comment>
    <comment ref="A14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average of absolute forecast errors.</t>
        </r>
      </text>
    </comment>
    <comment ref="A15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square root of the sum of squared forecast errors.</t>
        </r>
      </text>
    </comment>
    <comment ref="A16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average of the absolute percentage forecast errors.</t>
        </r>
      </text>
    </comment>
    <comment ref="B14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future forecasting period begins here (below the line)</t>
        </r>
      </text>
    </comment>
  </commentList>
</comments>
</file>

<file path=xl/sharedStrings.xml><?xml version="1.0" encoding="utf-8"?>
<sst xmlns="http://schemas.openxmlformats.org/spreadsheetml/2006/main" count="524" uniqueCount="149">
  <si>
    <t>Month</t>
  </si>
  <si>
    <t>Sales1</t>
  </si>
  <si>
    <t>Sales2</t>
  </si>
  <si>
    <t>Time</t>
  </si>
  <si>
    <t>Name</t>
  </si>
  <si>
    <t>Data Set #1</t>
  </si>
  <si>
    <t>GUID</t>
  </si>
  <si>
    <t>DG810C2A5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</si>
  <si>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</si>
  <si>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</si>
  <si>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</si>
  <si>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</si>
  <si>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</si>
  <si>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</si>
  <si>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</si>
  <si>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</si>
  <si>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</si>
  <si>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</si>
  <si>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VG15EAE029</t>
  </si>
  <si>
    <t>var1</t>
  </si>
  <si>
    <t>ST_Month</t>
  </si>
  <si>
    <t>1 : Ranges</t>
  </si>
  <si>
    <t>1 : MultiRefs</t>
  </si>
  <si>
    <t>2 : Info</t>
  </si>
  <si>
    <t>VG84E7BEE</t>
  </si>
  <si>
    <t>var2</t>
  </si>
  <si>
    <t>ST_Time</t>
  </si>
  <si>
    <t>2 : Ranges</t>
  </si>
  <si>
    <t>2 : MultiRefs</t>
  </si>
  <si>
    <t>3 : Info</t>
  </si>
  <si>
    <t>VG55D4977</t>
  </si>
  <si>
    <t>var3</t>
  </si>
  <si>
    <t>ST_Sales1</t>
  </si>
  <si>
    <t>3 : Ranges</t>
  </si>
  <si>
    <t>3 : MultiRefs</t>
  </si>
  <si>
    <t>4 : Info</t>
  </si>
  <si>
    <t>VG39F74005</t>
  </si>
  <si>
    <t>var4</t>
  </si>
  <si>
    <t>ST_Sales2</t>
  </si>
  <si>
    <t>4 : Ranges</t>
  </si>
  <si>
    <t>4 : MultiRefs</t>
  </si>
  <si>
    <t>StatTools</t>
  </si>
  <si>
    <t>(Core Analysis Pack)</t>
  </si>
  <si>
    <t>Analysis:</t>
  </si>
  <si>
    <t>Time Series Graph</t>
  </si>
  <si>
    <t>Performed By:</t>
  </si>
  <si>
    <t>Date:</t>
  </si>
  <si>
    <t>Updating:</t>
  </si>
  <si>
    <t>Live</t>
  </si>
  <si>
    <t>Forecast</t>
  </si>
  <si>
    <t>Forecasting Constant</t>
  </si>
  <si>
    <t>Moving Averages</t>
  </si>
  <si>
    <t>Forecasting Data</t>
  </si>
  <si>
    <t>Span</t>
  </si>
  <si>
    <t>Mean Abs Err</t>
  </si>
  <si>
    <t>Root Mean Sq Err</t>
  </si>
  <si>
    <t>Mean Abs Per% Err</t>
  </si>
  <si>
    <t>Error</t>
  </si>
  <si>
    <t>Forecasting Constant (Optimized)</t>
  </si>
  <si>
    <t>Simple Exponential</t>
  </si>
  <si>
    <t>Level (Alpha)</t>
  </si>
  <si>
    <t>Level</t>
  </si>
  <si>
    <t>Forecasting Constants (Optimized)</t>
  </si>
  <si>
    <t>Holt's Exponential</t>
  </si>
  <si>
    <t>Trend (Beta)</t>
  </si>
  <si>
    <t>Trend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</si>
  <si>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</si>
  <si>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</si>
  <si>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</si>
  <si>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</si>
  <si>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</si>
  <si>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</si>
  <si>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</si>
  <si>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</si>
  <si>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</si>
  <si>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 xml:space="preserve"> Chris Albright</t>
  </si>
  <si>
    <t>Saturday, June 12, 2010</t>
  </si>
  <si>
    <t>Jan-2006</t>
  </si>
  <si>
    <t>Feb-2006</t>
  </si>
  <si>
    <t>Mar-2006</t>
  </si>
  <si>
    <t>Apr-2006</t>
  </si>
  <si>
    <t>May-2006</t>
  </si>
  <si>
    <t>Jun-2006</t>
  </si>
  <si>
    <t>Jul-2006</t>
  </si>
  <si>
    <t>Aug-2006</t>
  </si>
  <si>
    <t>Sep-2006</t>
  </si>
  <si>
    <t>Oct-2006</t>
  </si>
  <si>
    <t>Nov-2006</t>
  </si>
  <si>
    <t>Dec-2006</t>
  </si>
  <si>
    <t>Jan-2007</t>
  </si>
  <si>
    <t>Feb-2007</t>
  </si>
  <si>
    <t>Mar-2007</t>
  </si>
  <si>
    <t>Apr-2007</t>
  </si>
  <si>
    <t>May-2007</t>
  </si>
  <si>
    <t>Jun-2007</t>
  </si>
  <si>
    <t>Jul-2007</t>
  </si>
  <si>
    <t>Aug-2007</t>
  </si>
  <si>
    <t>Sep-2007</t>
  </si>
  <si>
    <t>Oct-2007</t>
  </si>
  <si>
    <t>Nov-2007</t>
  </si>
  <si>
    <t>Dec-2007</t>
  </si>
  <si>
    <t>Jan-2008</t>
  </si>
  <si>
    <t>Feb-2008</t>
  </si>
  <si>
    <t>Mar-2008</t>
  </si>
  <si>
    <t>Apr-2008</t>
  </si>
  <si>
    <t>May-2008</t>
  </si>
  <si>
    <t>Jun-2008</t>
  </si>
  <si>
    <t>Jul-2008</t>
  </si>
  <si>
    <t>Aug-2008</t>
  </si>
  <si>
    <t>Sep-2008</t>
  </si>
  <si>
    <t>Oct-2008</t>
  </si>
  <si>
    <t>Nov-2008</t>
  </si>
  <si>
    <t>Dec-2008</t>
  </si>
  <si>
    <t>Jan-2009</t>
  </si>
  <si>
    <t>Feb-2009</t>
  </si>
  <si>
    <t>Mar-2009</t>
  </si>
  <si>
    <t>Apr-2009</t>
  </si>
  <si>
    <t>May-2009</t>
  </si>
  <si>
    <t>Jun-2009</t>
  </si>
  <si>
    <t>Jul-2009</t>
  </si>
  <si>
    <t>Aug-2009</t>
  </si>
  <si>
    <t>Sep-2009</t>
  </si>
  <si>
    <t>Oct-2009</t>
  </si>
  <si>
    <t>Nov-2009</t>
  </si>
  <si>
    <t>Dec-2009</t>
  </si>
  <si>
    <t>Jan-2010</t>
  </si>
  <si>
    <t>Feb-2010</t>
  </si>
  <si>
    <t>Mar-2010</t>
  </si>
  <si>
    <t>Apr-2010</t>
  </si>
  <si>
    <t>May-2010</t>
  </si>
  <si>
    <t>Jun-2010</t>
  </si>
  <si>
    <t>Jul-2010</t>
  </si>
  <si>
    <t>Aug-2010</t>
  </si>
  <si>
    <t>Sep-2010</t>
  </si>
  <si>
    <t>Oct-2010</t>
  </si>
  <si>
    <t>Nov-2010</t>
  </si>
  <si>
    <t>Dec-2010</t>
  </si>
  <si>
    <t>Jan-2011</t>
  </si>
  <si>
    <t>Feb-2011</t>
  </si>
  <si>
    <t>Mar-2011</t>
  </si>
  <si>
    <t>Apr-2011</t>
  </si>
  <si>
    <t>May-2011</t>
  </si>
  <si>
    <t>Jun-2011</t>
  </si>
  <si>
    <t>Jul-2011</t>
  </si>
  <si>
    <t>Aug-2011</t>
  </si>
  <si>
    <t>Sep-2011</t>
  </si>
  <si>
    <t>Oct-2011</t>
  </si>
  <si>
    <t>Nov-2011</t>
  </si>
  <si>
    <t>Dec-2011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</si>
</sst>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"/>
    </font>
    <font>
      <sz val="8"/>
      <name val="Arial"/>
      <family val="2"/>
    </font>
    <font>
      <sz val="11"/>
      <name val="Calibri"/>
      <family val="2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2" fillId="0" borderId="0" xfId="0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0" fontId="2" fillId="2" borderId="0" xfId="0" applyFont="1" applyFill="1"/>
    <xf numFmtId="0" fontId="2" fillId="2" borderId="1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1" fontId="0" fillId="0" borderId="0" xfId="0" applyNumberFormat="1" applyAlignment="1">
      <alignment horizontal="left"/>
    </xf>
    <xf numFmtId="17" fontId="2" fillId="0" borderId="0" xfId="1" applyNumberFormat="1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8" fillId="3" borderId="0" xfId="0" applyFont="1" applyFill="1" applyAlignment="1">
      <alignment horizontal="right"/>
    </xf>
    <xf numFmtId="0" fontId="7" fillId="3" borderId="0" xfId="0" applyFont="1" applyFill="1" applyAlignment="1">
      <alignment horizontal="right"/>
    </xf>
    <xf numFmtId="0" fontId="7" fillId="3" borderId="4" xfId="0" applyFont="1" applyFill="1" applyBorder="1" applyAlignment="1">
      <alignment horizontal="right"/>
    </xf>
    <xf numFmtId="0" fontId="1" fillId="3" borderId="0" xfId="0" applyFont="1" applyFill="1" applyAlignment="1">
      <alignment horizontal="left"/>
    </xf>
    <xf numFmtId="0" fontId="1" fillId="3" borderId="4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7" fillId="0" borderId="0" xfId="0" applyNumberFormat="1" applyFont="1" applyAlignment="1">
      <alignment horizontal="center"/>
    </xf>
    <xf numFmtId="49" fontId="7" fillId="0" borderId="3" xfId="0" applyNumberFormat="1" applyFont="1" applyFill="1" applyBorder="1" applyAlignment="1">
      <alignment horizontal="center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3" xfId="0" applyNumberFormat="1" applyFont="1" applyFill="1" applyBorder="1" applyAlignment="1">
      <alignment horizontal="left"/>
    </xf>
    <xf numFmtId="2" fontId="0" fillId="0" borderId="0" xfId="0" applyNumberFormat="1" applyAlignment="1">
      <alignment horizontal="center"/>
    </xf>
    <xf numFmtId="49" fontId="7" fillId="0" borderId="2" xfId="0" applyNumberFormat="1" applyFont="1" applyFill="1" applyBorder="1" applyAlignment="1">
      <alignment horizontal="left"/>
    </xf>
    <xf numFmtId="2" fontId="0" fillId="0" borderId="2" xfId="0" applyNumberFormat="1" applyFill="1" applyBorder="1" applyAlignment="1">
      <alignment horizontal="center"/>
    </xf>
    <xf numFmtId="1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Time Series of Sales1 / Data Set #1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333399"/>
              </a:solidFill>
              <a:prstDash val="solid"/>
            </a:ln>
          </c:spPr>
          <c:cat>
            <c:numRef>
              <c:f>Data!$A$2:$A$61</c:f>
              <c:numCache>
                <c:formatCode>mmm\-yy</c:formatCode>
                <c:ptCount val="60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</c:numCache>
            </c:numRef>
          </c:cat>
          <c:val>
            <c:numRef>
              <c:f>Data!$C$2:$C$61</c:f>
              <c:numCache>
                <c:formatCode>General</c:formatCode>
                <c:ptCount val="60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014320"/>
        <c:axId val="521020592"/>
      </c:lineChart>
      <c:dateAx>
        <c:axId val="52101432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521020592"/>
        <c:crosses val="autoZero"/>
        <c:auto val="1"/>
        <c:lblOffset val="100"/>
        <c:baseTimeUnit val="months"/>
      </c:dateAx>
      <c:valAx>
        <c:axId val="5210205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1014320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Errors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Span6'!$A$83:$A$142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Span6'!$D$89:$D$154</c:f>
              <c:numCache>
                <c:formatCode>0.00</c:formatCode>
                <c:ptCount val="66"/>
                <c:pt idx="0">
                  <c:v>113.66666666666674</c:v>
                </c:pt>
                <c:pt idx="1">
                  <c:v>109.33333333333326</c:v>
                </c:pt>
                <c:pt idx="2">
                  <c:v>97.333333333333258</c:v>
                </c:pt>
                <c:pt idx="3">
                  <c:v>94.5</c:v>
                </c:pt>
                <c:pt idx="4">
                  <c:v>103.83333333333326</c:v>
                </c:pt>
                <c:pt idx="5">
                  <c:v>94.666666666666742</c:v>
                </c:pt>
                <c:pt idx="6">
                  <c:v>99.333333333333258</c:v>
                </c:pt>
                <c:pt idx="7">
                  <c:v>83.333333333333258</c:v>
                </c:pt>
                <c:pt idx="8">
                  <c:v>84.166666666666742</c:v>
                </c:pt>
                <c:pt idx="9">
                  <c:v>91.333333333333258</c:v>
                </c:pt>
                <c:pt idx="10">
                  <c:v>99.666666666666742</c:v>
                </c:pt>
                <c:pt idx="11">
                  <c:v>98.5</c:v>
                </c:pt>
                <c:pt idx="12">
                  <c:v>100.33333333333326</c:v>
                </c:pt>
                <c:pt idx="13">
                  <c:v>86.666666666666742</c:v>
                </c:pt>
                <c:pt idx="14">
                  <c:v>88.833333333333258</c:v>
                </c:pt>
                <c:pt idx="15">
                  <c:v>99.5</c:v>
                </c:pt>
                <c:pt idx="16">
                  <c:v>95.333333333333258</c:v>
                </c:pt>
                <c:pt idx="17">
                  <c:v>98</c:v>
                </c:pt>
                <c:pt idx="18">
                  <c:v>111</c:v>
                </c:pt>
                <c:pt idx="19">
                  <c:v>113.16666666666674</c:v>
                </c:pt>
                <c:pt idx="20">
                  <c:v>107.33333333333326</c:v>
                </c:pt>
                <c:pt idx="21">
                  <c:v>92</c:v>
                </c:pt>
                <c:pt idx="22">
                  <c:v>98.333333333333258</c:v>
                </c:pt>
                <c:pt idx="23">
                  <c:v>88</c:v>
                </c:pt>
                <c:pt idx="24">
                  <c:v>77.333333333333258</c:v>
                </c:pt>
                <c:pt idx="25">
                  <c:v>80.5</c:v>
                </c:pt>
                <c:pt idx="26">
                  <c:v>84.333333333333258</c:v>
                </c:pt>
                <c:pt idx="27">
                  <c:v>71</c:v>
                </c:pt>
                <c:pt idx="28">
                  <c:v>74.666666666666742</c:v>
                </c:pt>
                <c:pt idx="29">
                  <c:v>87.666666666666742</c:v>
                </c:pt>
                <c:pt idx="30">
                  <c:v>82.166666666666742</c:v>
                </c:pt>
                <c:pt idx="31">
                  <c:v>93.5</c:v>
                </c:pt>
                <c:pt idx="32">
                  <c:v>103.5</c:v>
                </c:pt>
                <c:pt idx="33">
                  <c:v>116.16666666666674</c:v>
                </c:pt>
                <c:pt idx="34">
                  <c:v>112</c:v>
                </c:pt>
                <c:pt idx="35">
                  <c:v>101.66666666666674</c:v>
                </c:pt>
                <c:pt idx="36">
                  <c:v>97.5</c:v>
                </c:pt>
                <c:pt idx="37">
                  <c:v>106.16666666666652</c:v>
                </c:pt>
                <c:pt idx="38">
                  <c:v>94.166666666666515</c:v>
                </c:pt>
                <c:pt idx="39">
                  <c:v>94.833333333333485</c:v>
                </c:pt>
                <c:pt idx="40">
                  <c:v>96.166666666666515</c:v>
                </c:pt>
                <c:pt idx="41">
                  <c:v>95.333333333333485</c:v>
                </c:pt>
                <c:pt idx="42">
                  <c:v>96.666666666666515</c:v>
                </c:pt>
                <c:pt idx="43">
                  <c:v>112.33333333333348</c:v>
                </c:pt>
                <c:pt idx="44">
                  <c:v>101.16666666666652</c:v>
                </c:pt>
                <c:pt idx="45">
                  <c:v>124.16666666666652</c:v>
                </c:pt>
                <c:pt idx="46">
                  <c:v>125.33333333333348</c:v>
                </c:pt>
                <c:pt idx="47">
                  <c:v>127.5</c:v>
                </c:pt>
                <c:pt idx="48">
                  <c:v>117</c:v>
                </c:pt>
                <c:pt idx="49">
                  <c:v>105.16666666666652</c:v>
                </c:pt>
                <c:pt idx="50">
                  <c:v>114.83333333333348</c:v>
                </c:pt>
                <c:pt idx="51">
                  <c:v>96.666666666666515</c:v>
                </c:pt>
                <c:pt idx="52">
                  <c:v>101.33333333333348</c:v>
                </c:pt>
                <c:pt idx="53">
                  <c:v>106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504744"/>
        <c:axId val="688419520"/>
      </c:lineChart>
      <c:catAx>
        <c:axId val="5215047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688419520"/>
        <c:crosses val="autoZero"/>
        <c:auto val="1"/>
        <c:lblAlgn val="ctr"/>
        <c:lblOffset val="100"/>
        <c:noMultiLvlLbl val="0"/>
      </c:catAx>
      <c:valAx>
        <c:axId val="688419520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1504744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and 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Span6'!$A$83:$A$154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Span6'!$B$83:$B$154</c:f>
              <c:numCache>
                <c:formatCode>0.00</c:formatCode>
                <c:ptCount val="72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Ref>
              <c:f>'Forecast MA Span6'!$A$83:$A$154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Span6'!$C$83:$C$154</c:f>
              <c:numCache>
                <c:formatCode>0.00</c:formatCode>
                <c:ptCount val="72"/>
                <c:pt idx="6">
                  <c:v>1086.3333333333333</c:v>
                </c:pt>
                <c:pt idx="7">
                  <c:v>1119.6666666666667</c:v>
                </c:pt>
                <c:pt idx="8">
                  <c:v>1153.6666666666667</c:v>
                </c:pt>
                <c:pt idx="9">
                  <c:v>1184.5</c:v>
                </c:pt>
                <c:pt idx="10">
                  <c:v>1213.1666666666667</c:v>
                </c:pt>
                <c:pt idx="11">
                  <c:v>1241.3333333333333</c:v>
                </c:pt>
                <c:pt idx="12">
                  <c:v>1268.6666666666667</c:v>
                </c:pt>
                <c:pt idx="13">
                  <c:v>1296.6666666666667</c:v>
                </c:pt>
                <c:pt idx="14">
                  <c:v>1321.8333333333333</c:v>
                </c:pt>
                <c:pt idx="15">
                  <c:v>1347.6666666666667</c:v>
                </c:pt>
                <c:pt idx="16">
                  <c:v>1374.3333333333333</c:v>
                </c:pt>
                <c:pt idx="17">
                  <c:v>1400.5</c:v>
                </c:pt>
                <c:pt idx="18">
                  <c:v>1427.6666666666667</c:v>
                </c:pt>
                <c:pt idx="19">
                  <c:v>1454.3333333333333</c:v>
                </c:pt>
                <c:pt idx="20">
                  <c:v>1481.1666666666667</c:v>
                </c:pt>
                <c:pt idx="21">
                  <c:v>1508.5</c:v>
                </c:pt>
                <c:pt idx="22">
                  <c:v>1536.6666666666667</c:v>
                </c:pt>
                <c:pt idx="23">
                  <c:v>1563</c:v>
                </c:pt>
                <c:pt idx="24">
                  <c:v>1590</c:v>
                </c:pt>
                <c:pt idx="25">
                  <c:v>1618.8333333333333</c:v>
                </c:pt>
                <c:pt idx="26">
                  <c:v>1650.6666666666667</c:v>
                </c:pt>
                <c:pt idx="27">
                  <c:v>1682</c:v>
                </c:pt>
                <c:pt idx="28">
                  <c:v>1709.6666666666667</c:v>
                </c:pt>
                <c:pt idx="29">
                  <c:v>1739</c:v>
                </c:pt>
                <c:pt idx="30">
                  <c:v>1766.6666666666667</c:v>
                </c:pt>
                <c:pt idx="31">
                  <c:v>1790.5</c:v>
                </c:pt>
                <c:pt idx="32">
                  <c:v>1813.6666666666667</c:v>
                </c:pt>
                <c:pt idx="33">
                  <c:v>1837</c:v>
                </c:pt>
                <c:pt idx="34">
                  <c:v>1859.3333333333333</c:v>
                </c:pt>
                <c:pt idx="35">
                  <c:v>1880.3333333333333</c:v>
                </c:pt>
                <c:pt idx="36">
                  <c:v>1903.8333333333333</c:v>
                </c:pt>
                <c:pt idx="37">
                  <c:v>1927.5</c:v>
                </c:pt>
                <c:pt idx="38">
                  <c:v>1952.5</c:v>
                </c:pt>
                <c:pt idx="39">
                  <c:v>1978.8333333333333</c:v>
                </c:pt>
                <c:pt idx="40">
                  <c:v>2010</c:v>
                </c:pt>
                <c:pt idx="41">
                  <c:v>2041.3333333333333</c:v>
                </c:pt>
                <c:pt idx="42">
                  <c:v>2070.5</c:v>
                </c:pt>
                <c:pt idx="43">
                  <c:v>2100.8333333333335</c:v>
                </c:pt>
                <c:pt idx="44">
                  <c:v>2131.8333333333335</c:v>
                </c:pt>
                <c:pt idx="45">
                  <c:v>2160.1666666666665</c:v>
                </c:pt>
                <c:pt idx="46">
                  <c:v>2186.8333333333335</c:v>
                </c:pt>
                <c:pt idx="47">
                  <c:v>2213.6666666666665</c:v>
                </c:pt>
                <c:pt idx="48">
                  <c:v>2241.3333333333335</c:v>
                </c:pt>
                <c:pt idx="49">
                  <c:v>2269.6666666666665</c:v>
                </c:pt>
                <c:pt idx="50">
                  <c:v>2298.8333333333335</c:v>
                </c:pt>
                <c:pt idx="51">
                  <c:v>2327.8333333333335</c:v>
                </c:pt>
                <c:pt idx="52">
                  <c:v>2360.6666666666665</c:v>
                </c:pt>
                <c:pt idx="53">
                  <c:v>2394.5</c:v>
                </c:pt>
                <c:pt idx="54">
                  <c:v>2430</c:v>
                </c:pt>
                <c:pt idx="55">
                  <c:v>2464.8333333333335</c:v>
                </c:pt>
                <c:pt idx="56">
                  <c:v>2496.1666666666665</c:v>
                </c:pt>
                <c:pt idx="57">
                  <c:v>2531.3333333333335</c:v>
                </c:pt>
                <c:pt idx="58">
                  <c:v>2560.6666666666665</c:v>
                </c:pt>
                <c:pt idx="59">
                  <c:v>2590</c:v>
                </c:pt>
                <c:pt idx="60">
                  <c:v>2619</c:v>
                </c:pt>
                <c:pt idx="61">
                  <c:v>2631</c:v>
                </c:pt>
                <c:pt idx="62">
                  <c:v>2641.1666666666665</c:v>
                </c:pt>
                <c:pt idx="63">
                  <c:v>2646.1944444444443</c:v>
                </c:pt>
                <c:pt idx="64">
                  <c:v>2649.2268518518517</c:v>
                </c:pt>
                <c:pt idx="65">
                  <c:v>2647.0979938271603</c:v>
                </c:pt>
                <c:pt idx="66">
                  <c:v>2638.9476594650205</c:v>
                </c:pt>
                <c:pt idx="67">
                  <c:v>2642.2722693758574</c:v>
                </c:pt>
                <c:pt idx="68">
                  <c:v>2644.1509809385002</c:v>
                </c:pt>
                <c:pt idx="69">
                  <c:v>2644.6483666504723</c:v>
                </c:pt>
                <c:pt idx="70">
                  <c:v>2644.3906870181436</c:v>
                </c:pt>
                <c:pt idx="71">
                  <c:v>2643.5846595458593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051344"/>
        <c:axId val="741044680"/>
      </c:lineChart>
      <c:catAx>
        <c:axId val="741051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41044680"/>
        <c:crosses val="autoZero"/>
        <c:auto val="1"/>
        <c:lblAlgn val="ctr"/>
        <c:lblOffset val="100"/>
        <c:noMultiLvlLbl val="0"/>
      </c:catAx>
      <c:valAx>
        <c:axId val="741044680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41051344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Span6'!$A$83:$A$142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Span6'!$B$83:$B$142</c:f>
              <c:numCache>
                <c:formatCode>0.00</c:formatCode>
                <c:ptCount val="60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9131080"/>
        <c:axId val="526071248"/>
      </c:lineChart>
      <c:catAx>
        <c:axId val="6991310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526071248"/>
        <c:crosses val="autoZero"/>
        <c:auto val="1"/>
        <c:lblAlgn val="ctr"/>
        <c:lblOffset val="100"/>
        <c:noMultiLvlLbl val="0"/>
      </c:catAx>
      <c:valAx>
        <c:axId val="526071248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99131080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Errors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Span6'!$A$83:$A$142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Span6'!$D$89:$D$154</c:f>
              <c:numCache>
                <c:formatCode>0.00</c:formatCode>
                <c:ptCount val="66"/>
                <c:pt idx="0">
                  <c:v>113.66666666666674</c:v>
                </c:pt>
                <c:pt idx="1">
                  <c:v>109.33333333333326</c:v>
                </c:pt>
                <c:pt idx="2">
                  <c:v>97.333333333333258</c:v>
                </c:pt>
                <c:pt idx="3">
                  <c:v>94.5</c:v>
                </c:pt>
                <c:pt idx="4">
                  <c:v>103.83333333333326</c:v>
                </c:pt>
                <c:pt idx="5">
                  <c:v>94.666666666666742</c:v>
                </c:pt>
                <c:pt idx="6">
                  <c:v>99.333333333333258</c:v>
                </c:pt>
                <c:pt idx="7">
                  <c:v>83.333333333333258</c:v>
                </c:pt>
                <c:pt idx="8">
                  <c:v>84.166666666666742</c:v>
                </c:pt>
                <c:pt idx="9">
                  <c:v>91.333333333333258</c:v>
                </c:pt>
                <c:pt idx="10">
                  <c:v>99.666666666666742</c:v>
                </c:pt>
                <c:pt idx="11">
                  <c:v>98.5</c:v>
                </c:pt>
                <c:pt idx="12">
                  <c:v>100.33333333333326</c:v>
                </c:pt>
                <c:pt idx="13">
                  <c:v>86.666666666666742</c:v>
                </c:pt>
                <c:pt idx="14">
                  <c:v>88.833333333333258</c:v>
                </c:pt>
                <c:pt idx="15">
                  <c:v>99.5</c:v>
                </c:pt>
                <c:pt idx="16">
                  <c:v>95.333333333333258</c:v>
                </c:pt>
                <c:pt idx="17">
                  <c:v>98</c:v>
                </c:pt>
                <c:pt idx="18">
                  <c:v>111</c:v>
                </c:pt>
                <c:pt idx="19">
                  <c:v>113.16666666666674</c:v>
                </c:pt>
                <c:pt idx="20">
                  <c:v>107.33333333333326</c:v>
                </c:pt>
                <c:pt idx="21">
                  <c:v>92</c:v>
                </c:pt>
                <c:pt idx="22">
                  <c:v>98.333333333333258</c:v>
                </c:pt>
                <c:pt idx="23">
                  <c:v>88</c:v>
                </c:pt>
                <c:pt idx="24">
                  <c:v>77.333333333333258</c:v>
                </c:pt>
                <c:pt idx="25">
                  <c:v>80.5</c:v>
                </c:pt>
                <c:pt idx="26">
                  <c:v>84.333333333333258</c:v>
                </c:pt>
                <c:pt idx="27">
                  <c:v>71</c:v>
                </c:pt>
                <c:pt idx="28">
                  <c:v>74.666666666666742</c:v>
                </c:pt>
                <c:pt idx="29">
                  <c:v>87.666666666666742</c:v>
                </c:pt>
                <c:pt idx="30">
                  <c:v>82.166666666666742</c:v>
                </c:pt>
                <c:pt idx="31">
                  <c:v>93.5</c:v>
                </c:pt>
                <c:pt idx="32">
                  <c:v>103.5</c:v>
                </c:pt>
                <c:pt idx="33">
                  <c:v>116.16666666666674</c:v>
                </c:pt>
                <c:pt idx="34">
                  <c:v>112</c:v>
                </c:pt>
                <c:pt idx="35">
                  <c:v>101.66666666666674</c:v>
                </c:pt>
                <c:pt idx="36">
                  <c:v>97.5</c:v>
                </c:pt>
                <c:pt idx="37">
                  <c:v>106.16666666666652</c:v>
                </c:pt>
                <c:pt idx="38">
                  <c:v>94.166666666666515</c:v>
                </c:pt>
                <c:pt idx="39">
                  <c:v>94.833333333333485</c:v>
                </c:pt>
                <c:pt idx="40">
                  <c:v>96.166666666666515</c:v>
                </c:pt>
                <c:pt idx="41">
                  <c:v>95.333333333333485</c:v>
                </c:pt>
                <c:pt idx="42">
                  <c:v>96.666666666666515</c:v>
                </c:pt>
                <c:pt idx="43">
                  <c:v>112.33333333333348</c:v>
                </c:pt>
                <c:pt idx="44">
                  <c:v>101.16666666666652</c:v>
                </c:pt>
                <c:pt idx="45">
                  <c:v>124.16666666666652</c:v>
                </c:pt>
                <c:pt idx="46">
                  <c:v>125.33333333333348</c:v>
                </c:pt>
                <c:pt idx="47">
                  <c:v>127.5</c:v>
                </c:pt>
                <c:pt idx="48">
                  <c:v>117</c:v>
                </c:pt>
                <c:pt idx="49">
                  <c:v>105.16666666666652</c:v>
                </c:pt>
                <c:pt idx="50">
                  <c:v>114.83333333333348</c:v>
                </c:pt>
                <c:pt idx="51">
                  <c:v>96.666666666666515</c:v>
                </c:pt>
                <c:pt idx="52">
                  <c:v>101.33333333333348</c:v>
                </c:pt>
                <c:pt idx="53">
                  <c:v>106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2198016"/>
        <c:axId val="402195272"/>
      </c:lineChart>
      <c:catAx>
        <c:axId val="402198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02195272"/>
        <c:crosses val="autoZero"/>
        <c:auto val="1"/>
        <c:lblAlgn val="ctr"/>
        <c:lblOffset val="100"/>
        <c:noMultiLvlLbl val="0"/>
      </c:catAx>
      <c:valAx>
        <c:axId val="402195272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02198016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and 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Span12'!$A$83:$A$154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Span12'!$B$83:$B$154</c:f>
              <c:numCache>
                <c:formatCode>0.00</c:formatCode>
                <c:ptCount val="72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Ref>
              <c:f>'Forecast MA Span12'!$A$83:$A$154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Span12'!$C$83:$C$154</c:f>
              <c:numCache>
                <c:formatCode>0.00</c:formatCode>
                <c:ptCount val="72"/>
                <c:pt idx="12">
                  <c:v>1177.5</c:v>
                </c:pt>
                <c:pt idx="13">
                  <c:v>1208.1666666666667</c:v>
                </c:pt>
                <c:pt idx="14">
                  <c:v>1237.75</c:v>
                </c:pt>
                <c:pt idx="15">
                  <c:v>1266.0833333333333</c:v>
                </c:pt>
                <c:pt idx="16">
                  <c:v>1293.75</c:v>
                </c:pt>
                <c:pt idx="17">
                  <c:v>1320.9166666666667</c:v>
                </c:pt>
                <c:pt idx="18">
                  <c:v>1348.1666666666667</c:v>
                </c:pt>
                <c:pt idx="19">
                  <c:v>1375.5</c:v>
                </c:pt>
                <c:pt idx="20">
                  <c:v>1401.5</c:v>
                </c:pt>
                <c:pt idx="21">
                  <c:v>1428.0833333333333</c:v>
                </c:pt>
                <c:pt idx="22">
                  <c:v>1455.5</c:v>
                </c:pt>
                <c:pt idx="23">
                  <c:v>1481.75</c:v>
                </c:pt>
                <c:pt idx="24">
                  <c:v>1508.8333333333333</c:v>
                </c:pt>
                <c:pt idx="25">
                  <c:v>1536.5833333333333</c:v>
                </c:pt>
                <c:pt idx="26">
                  <c:v>1565.9166666666667</c:v>
                </c:pt>
                <c:pt idx="27">
                  <c:v>1595.25</c:v>
                </c:pt>
                <c:pt idx="28">
                  <c:v>1623.1666666666667</c:v>
                </c:pt>
                <c:pt idx="29">
                  <c:v>1651</c:v>
                </c:pt>
                <c:pt idx="30">
                  <c:v>1678.3333333333333</c:v>
                </c:pt>
                <c:pt idx="31">
                  <c:v>1704.6666666666667</c:v>
                </c:pt>
                <c:pt idx="32">
                  <c:v>1732.1666666666667</c:v>
                </c:pt>
                <c:pt idx="33">
                  <c:v>1759.5</c:v>
                </c:pt>
                <c:pt idx="34">
                  <c:v>1784.5</c:v>
                </c:pt>
                <c:pt idx="35">
                  <c:v>1809.6666666666667</c:v>
                </c:pt>
                <c:pt idx="36">
                  <c:v>1835.25</c:v>
                </c:pt>
                <c:pt idx="37">
                  <c:v>1859</c:v>
                </c:pt>
                <c:pt idx="38">
                  <c:v>1883.0833333333333</c:v>
                </c:pt>
                <c:pt idx="39">
                  <c:v>1907.9166666666667</c:v>
                </c:pt>
                <c:pt idx="40">
                  <c:v>1934.6666666666667</c:v>
                </c:pt>
                <c:pt idx="41">
                  <c:v>1960.8333333333333</c:v>
                </c:pt>
                <c:pt idx="42">
                  <c:v>1987.1666666666667</c:v>
                </c:pt>
                <c:pt idx="43">
                  <c:v>2014.1666666666667</c:v>
                </c:pt>
                <c:pt idx="44">
                  <c:v>2042.1666666666667</c:v>
                </c:pt>
                <c:pt idx="45">
                  <c:v>2069.5</c:v>
                </c:pt>
                <c:pt idx="46">
                  <c:v>2098.4166666666665</c:v>
                </c:pt>
                <c:pt idx="47">
                  <c:v>2127.5</c:v>
                </c:pt>
                <c:pt idx="48">
                  <c:v>2155.9166666666665</c:v>
                </c:pt>
                <c:pt idx="49">
                  <c:v>2185.25</c:v>
                </c:pt>
                <c:pt idx="50">
                  <c:v>2215.3333333333335</c:v>
                </c:pt>
                <c:pt idx="51">
                  <c:v>2244</c:v>
                </c:pt>
                <c:pt idx="52">
                  <c:v>2273.75</c:v>
                </c:pt>
                <c:pt idx="53">
                  <c:v>2304.0833333333335</c:v>
                </c:pt>
                <c:pt idx="54">
                  <c:v>2335.6666666666665</c:v>
                </c:pt>
                <c:pt idx="55">
                  <c:v>2367.25</c:v>
                </c:pt>
                <c:pt idx="56">
                  <c:v>2397.5</c:v>
                </c:pt>
                <c:pt idx="57">
                  <c:v>2429.5833333333335</c:v>
                </c:pt>
                <c:pt idx="58">
                  <c:v>2460.6666666666665</c:v>
                </c:pt>
                <c:pt idx="59">
                  <c:v>2492.25</c:v>
                </c:pt>
                <c:pt idx="60">
                  <c:v>2524.5</c:v>
                </c:pt>
                <c:pt idx="61">
                  <c:v>2540.0416666666665</c:v>
                </c:pt>
                <c:pt idx="62">
                  <c:v>2553.2118055555557</c:v>
                </c:pt>
                <c:pt idx="63">
                  <c:v>2565.9794560185187</c:v>
                </c:pt>
                <c:pt idx="64">
                  <c:v>2575.4777440200619</c:v>
                </c:pt>
                <c:pt idx="65">
                  <c:v>2582.9342226884005</c:v>
                </c:pt>
                <c:pt idx="66">
                  <c:v>2588.0120745791005</c:v>
                </c:pt>
                <c:pt idx="67">
                  <c:v>2591.4297474606919</c:v>
                </c:pt>
                <c:pt idx="68">
                  <c:v>2593.2155597490832</c:v>
                </c:pt>
                <c:pt idx="69">
                  <c:v>2591.7335230615067</c:v>
                </c:pt>
                <c:pt idx="70">
                  <c:v>2588.7113166499653</c:v>
                </c:pt>
                <c:pt idx="71">
                  <c:v>2582.6039263707958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026472"/>
        <c:axId val="734677752"/>
      </c:lineChart>
      <c:catAx>
        <c:axId val="521026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34677752"/>
        <c:crosses val="autoZero"/>
        <c:auto val="1"/>
        <c:lblAlgn val="ctr"/>
        <c:lblOffset val="100"/>
        <c:noMultiLvlLbl val="0"/>
      </c:catAx>
      <c:valAx>
        <c:axId val="734677752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1026472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Span12'!$A$83:$A$142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Span12'!$B$83:$B$142</c:f>
              <c:numCache>
                <c:formatCode>0.00</c:formatCode>
                <c:ptCount val="60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704240"/>
        <c:axId val="647705808"/>
      </c:lineChart>
      <c:catAx>
        <c:axId val="647704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647705808"/>
        <c:crosses val="autoZero"/>
        <c:auto val="1"/>
        <c:lblAlgn val="ctr"/>
        <c:lblOffset val="100"/>
        <c:noMultiLvlLbl val="0"/>
      </c:catAx>
      <c:valAx>
        <c:axId val="647705808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47704240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Errors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Span12'!$A$83:$A$142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Span12'!$D$95:$D$154</c:f>
              <c:numCache>
                <c:formatCode>0.00</c:formatCode>
                <c:ptCount val="60"/>
                <c:pt idx="0">
                  <c:v>190.5</c:v>
                </c:pt>
                <c:pt idx="1">
                  <c:v>171.83333333333326</c:v>
                </c:pt>
                <c:pt idx="2">
                  <c:v>168.25</c:v>
                </c:pt>
                <c:pt idx="3">
                  <c:v>172.91666666666674</c:v>
                </c:pt>
                <c:pt idx="4">
                  <c:v>180.25</c:v>
                </c:pt>
                <c:pt idx="5">
                  <c:v>178.08333333333326</c:v>
                </c:pt>
                <c:pt idx="6">
                  <c:v>179.83333333333326</c:v>
                </c:pt>
                <c:pt idx="7">
                  <c:v>165.5</c:v>
                </c:pt>
                <c:pt idx="8">
                  <c:v>168.5</c:v>
                </c:pt>
                <c:pt idx="9">
                  <c:v>179.91666666666674</c:v>
                </c:pt>
                <c:pt idx="10">
                  <c:v>176.5</c:v>
                </c:pt>
                <c:pt idx="11">
                  <c:v>179.25</c:v>
                </c:pt>
                <c:pt idx="12">
                  <c:v>192.16666666666674</c:v>
                </c:pt>
                <c:pt idx="13">
                  <c:v>195.41666666666674</c:v>
                </c:pt>
                <c:pt idx="14">
                  <c:v>192.08333333333326</c:v>
                </c:pt>
                <c:pt idx="15">
                  <c:v>178.75</c:v>
                </c:pt>
                <c:pt idx="16">
                  <c:v>184.83333333333326</c:v>
                </c:pt>
                <c:pt idx="17">
                  <c:v>176</c:v>
                </c:pt>
                <c:pt idx="18">
                  <c:v>165.66666666666674</c:v>
                </c:pt>
                <c:pt idx="19">
                  <c:v>166.33333333333326</c:v>
                </c:pt>
                <c:pt idx="20">
                  <c:v>165.83333333333326</c:v>
                </c:pt>
                <c:pt idx="21">
                  <c:v>148.5</c:v>
                </c:pt>
                <c:pt idx="22">
                  <c:v>149.5</c:v>
                </c:pt>
                <c:pt idx="23">
                  <c:v>158.33333333333326</c:v>
                </c:pt>
                <c:pt idx="24">
                  <c:v>150.75</c:v>
                </c:pt>
                <c:pt idx="25">
                  <c:v>162</c:v>
                </c:pt>
                <c:pt idx="26">
                  <c:v>172.91666666666674</c:v>
                </c:pt>
                <c:pt idx="27">
                  <c:v>187.08333333333326</c:v>
                </c:pt>
                <c:pt idx="28">
                  <c:v>187.33333333333326</c:v>
                </c:pt>
                <c:pt idx="29">
                  <c:v>182.16666666666674</c:v>
                </c:pt>
                <c:pt idx="30">
                  <c:v>180.83333333333326</c:v>
                </c:pt>
                <c:pt idx="31">
                  <c:v>192.83333333333326</c:v>
                </c:pt>
                <c:pt idx="32">
                  <c:v>183.83333333333326</c:v>
                </c:pt>
                <c:pt idx="33">
                  <c:v>185.5</c:v>
                </c:pt>
                <c:pt idx="34">
                  <c:v>184.58333333333348</c:v>
                </c:pt>
                <c:pt idx="35">
                  <c:v>181.5</c:v>
                </c:pt>
                <c:pt idx="36">
                  <c:v>182.08333333333348</c:v>
                </c:pt>
                <c:pt idx="37">
                  <c:v>196.75</c:v>
                </c:pt>
                <c:pt idx="38">
                  <c:v>184.66666666666652</c:v>
                </c:pt>
                <c:pt idx="39">
                  <c:v>208</c:v>
                </c:pt>
                <c:pt idx="40">
                  <c:v>212.25</c:v>
                </c:pt>
                <c:pt idx="41">
                  <c:v>217.91666666666652</c:v>
                </c:pt>
                <c:pt idx="42">
                  <c:v>211.33333333333348</c:v>
                </c:pt>
                <c:pt idx="43">
                  <c:v>202.75</c:v>
                </c:pt>
                <c:pt idx="44">
                  <c:v>213.5</c:v>
                </c:pt>
                <c:pt idx="45">
                  <c:v>198.41666666666652</c:v>
                </c:pt>
                <c:pt idx="46">
                  <c:v>201.33333333333348</c:v>
                </c:pt>
                <c:pt idx="47">
                  <c:v>203.75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1664848"/>
        <c:axId val="406994432"/>
      </c:lineChart>
      <c:catAx>
        <c:axId val="401664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06994432"/>
        <c:crosses val="autoZero"/>
        <c:auto val="1"/>
        <c:lblAlgn val="ctr"/>
        <c:lblOffset val="100"/>
        <c:noMultiLvlLbl val="0"/>
      </c:catAx>
      <c:valAx>
        <c:axId val="406994432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0166484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and 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Span12'!$A$83:$A$154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Span12'!$B$83:$B$154</c:f>
              <c:numCache>
                <c:formatCode>0.00</c:formatCode>
                <c:ptCount val="72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Ref>
              <c:f>'Forecast MA Span12'!$A$83:$A$154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Span12'!$C$83:$C$154</c:f>
              <c:numCache>
                <c:formatCode>0.00</c:formatCode>
                <c:ptCount val="72"/>
                <c:pt idx="12">
                  <c:v>1177.5</c:v>
                </c:pt>
                <c:pt idx="13">
                  <c:v>1208.1666666666667</c:v>
                </c:pt>
                <c:pt idx="14">
                  <c:v>1237.75</c:v>
                </c:pt>
                <c:pt idx="15">
                  <c:v>1266.0833333333333</c:v>
                </c:pt>
                <c:pt idx="16">
                  <c:v>1293.75</c:v>
                </c:pt>
                <c:pt idx="17">
                  <c:v>1320.9166666666667</c:v>
                </c:pt>
                <c:pt idx="18">
                  <c:v>1348.1666666666667</c:v>
                </c:pt>
                <c:pt idx="19">
                  <c:v>1375.5</c:v>
                </c:pt>
                <c:pt idx="20">
                  <c:v>1401.5</c:v>
                </c:pt>
                <c:pt idx="21">
                  <c:v>1428.0833333333333</c:v>
                </c:pt>
                <c:pt idx="22">
                  <c:v>1455.5</c:v>
                </c:pt>
                <c:pt idx="23">
                  <c:v>1481.75</c:v>
                </c:pt>
                <c:pt idx="24">
                  <c:v>1508.8333333333333</c:v>
                </c:pt>
                <c:pt idx="25">
                  <c:v>1536.5833333333333</c:v>
                </c:pt>
                <c:pt idx="26">
                  <c:v>1565.9166666666667</c:v>
                </c:pt>
                <c:pt idx="27">
                  <c:v>1595.25</c:v>
                </c:pt>
                <c:pt idx="28">
                  <c:v>1623.1666666666667</c:v>
                </c:pt>
                <c:pt idx="29">
                  <c:v>1651</c:v>
                </c:pt>
                <c:pt idx="30">
                  <c:v>1678.3333333333333</c:v>
                </c:pt>
                <c:pt idx="31">
                  <c:v>1704.6666666666667</c:v>
                </c:pt>
                <c:pt idx="32">
                  <c:v>1732.1666666666667</c:v>
                </c:pt>
                <c:pt idx="33">
                  <c:v>1759.5</c:v>
                </c:pt>
                <c:pt idx="34">
                  <c:v>1784.5</c:v>
                </c:pt>
                <c:pt idx="35">
                  <c:v>1809.6666666666667</c:v>
                </c:pt>
                <c:pt idx="36">
                  <c:v>1835.25</c:v>
                </c:pt>
                <c:pt idx="37">
                  <c:v>1859</c:v>
                </c:pt>
                <c:pt idx="38">
                  <c:v>1883.0833333333333</c:v>
                </c:pt>
                <c:pt idx="39">
                  <c:v>1907.9166666666667</c:v>
                </c:pt>
                <c:pt idx="40">
                  <c:v>1934.6666666666667</c:v>
                </c:pt>
                <c:pt idx="41">
                  <c:v>1960.8333333333333</c:v>
                </c:pt>
                <c:pt idx="42">
                  <c:v>1987.1666666666667</c:v>
                </c:pt>
                <c:pt idx="43">
                  <c:v>2014.1666666666667</c:v>
                </c:pt>
                <c:pt idx="44">
                  <c:v>2042.1666666666667</c:v>
                </c:pt>
                <c:pt idx="45">
                  <c:v>2069.5</c:v>
                </c:pt>
                <c:pt idx="46">
                  <c:v>2098.4166666666665</c:v>
                </c:pt>
                <c:pt idx="47">
                  <c:v>2127.5</c:v>
                </c:pt>
                <c:pt idx="48">
                  <c:v>2155.9166666666665</c:v>
                </c:pt>
                <c:pt idx="49">
                  <c:v>2185.25</c:v>
                </c:pt>
                <c:pt idx="50">
                  <c:v>2215.3333333333335</c:v>
                </c:pt>
                <c:pt idx="51">
                  <c:v>2244</c:v>
                </c:pt>
                <c:pt idx="52">
                  <c:v>2273.75</c:v>
                </c:pt>
                <c:pt idx="53">
                  <c:v>2304.0833333333335</c:v>
                </c:pt>
                <c:pt idx="54">
                  <c:v>2335.6666666666665</c:v>
                </c:pt>
                <c:pt idx="55">
                  <c:v>2367.25</c:v>
                </c:pt>
                <c:pt idx="56">
                  <c:v>2397.5</c:v>
                </c:pt>
                <c:pt idx="57">
                  <c:v>2429.5833333333335</c:v>
                </c:pt>
                <c:pt idx="58">
                  <c:v>2460.6666666666665</c:v>
                </c:pt>
                <c:pt idx="59">
                  <c:v>2492.25</c:v>
                </c:pt>
                <c:pt idx="60">
                  <c:v>2524.5</c:v>
                </c:pt>
                <c:pt idx="61">
                  <c:v>2540.0416666666665</c:v>
                </c:pt>
                <c:pt idx="62">
                  <c:v>2553.2118055555557</c:v>
                </c:pt>
                <c:pt idx="63">
                  <c:v>2565.9794560185187</c:v>
                </c:pt>
                <c:pt idx="64">
                  <c:v>2575.4777440200619</c:v>
                </c:pt>
                <c:pt idx="65">
                  <c:v>2582.9342226884005</c:v>
                </c:pt>
                <c:pt idx="66">
                  <c:v>2588.0120745791005</c:v>
                </c:pt>
                <c:pt idx="67">
                  <c:v>2591.4297474606919</c:v>
                </c:pt>
                <c:pt idx="68">
                  <c:v>2593.2155597490832</c:v>
                </c:pt>
                <c:pt idx="69">
                  <c:v>2591.7335230615067</c:v>
                </c:pt>
                <c:pt idx="70">
                  <c:v>2588.7113166499653</c:v>
                </c:pt>
                <c:pt idx="71">
                  <c:v>2582.6039263707958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8467432"/>
        <c:axId val="768312336"/>
      </c:lineChart>
      <c:catAx>
        <c:axId val="348467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12336"/>
        <c:crosses val="autoZero"/>
        <c:auto val="1"/>
        <c:lblAlgn val="ctr"/>
        <c:lblOffset val="100"/>
        <c:noMultiLvlLbl val="0"/>
      </c:catAx>
      <c:valAx>
        <c:axId val="768312336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348467432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Span12'!$A$83:$A$142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Span12'!$B$83:$B$142</c:f>
              <c:numCache>
                <c:formatCode>0.00</c:formatCode>
                <c:ptCount val="60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20960"/>
        <c:axId val="768322920"/>
      </c:lineChart>
      <c:catAx>
        <c:axId val="7683209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22920"/>
        <c:crosses val="autoZero"/>
        <c:auto val="1"/>
        <c:lblAlgn val="ctr"/>
        <c:lblOffset val="100"/>
        <c:noMultiLvlLbl val="0"/>
      </c:catAx>
      <c:valAx>
        <c:axId val="768322920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20960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Errors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Span12'!$A$83:$A$142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Span12'!$D$95:$D$154</c:f>
              <c:numCache>
                <c:formatCode>0.00</c:formatCode>
                <c:ptCount val="60"/>
                <c:pt idx="0">
                  <c:v>190.5</c:v>
                </c:pt>
                <c:pt idx="1">
                  <c:v>171.83333333333326</c:v>
                </c:pt>
                <c:pt idx="2">
                  <c:v>168.25</c:v>
                </c:pt>
                <c:pt idx="3">
                  <c:v>172.91666666666674</c:v>
                </c:pt>
                <c:pt idx="4">
                  <c:v>180.25</c:v>
                </c:pt>
                <c:pt idx="5">
                  <c:v>178.08333333333326</c:v>
                </c:pt>
                <c:pt idx="6">
                  <c:v>179.83333333333326</c:v>
                </c:pt>
                <c:pt idx="7">
                  <c:v>165.5</c:v>
                </c:pt>
                <c:pt idx="8">
                  <c:v>168.5</c:v>
                </c:pt>
                <c:pt idx="9">
                  <c:v>179.91666666666674</c:v>
                </c:pt>
                <c:pt idx="10">
                  <c:v>176.5</c:v>
                </c:pt>
                <c:pt idx="11">
                  <c:v>179.25</c:v>
                </c:pt>
                <c:pt idx="12">
                  <c:v>192.16666666666674</c:v>
                </c:pt>
                <c:pt idx="13">
                  <c:v>195.41666666666674</c:v>
                </c:pt>
                <c:pt idx="14">
                  <c:v>192.08333333333326</c:v>
                </c:pt>
                <c:pt idx="15">
                  <c:v>178.75</c:v>
                </c:pt>
                <c:pt idx="16">
                  <c:v>184.83333333333326</c:v>
                </c:pt>
                <c:pt idx="17">
                  <c:v>176</c:v>
                </c:pt>
                <c:pt idx="18">
                  <c:v>165.66666666666674</c:v>
                </c:pt>
                <c:pt idx="19">
                  <c:v>166.33333333333326</c:v>
                </c:pt>
                <c:pt idx="20">
                  <c:v>165.83333333333326</c:v>
                </c:pt>
                <c:pt idx="21">
                  <c:v>148.5</c:v>
                </c:pt>
                <c:pt idx="22">
                  <c:v>149.5</c:v>
                </c:pt>
                <c:pt idx="23">
                  <c:v>158.33333333333326</c:v>
                </c:pt>
                <c:pt idx="24">
                  <c:v>150.75</c:v>
                </c:pt>
                <c:pt idx="25">
                  <c:v>162</c:v>
                </c:pt>
                <c:pt idx="26">
                  <c:v>172.91666666666674</c:v>
                </c:pt>
                <c:pt idx="27">
                  <c:v>187.08333333333326</c:v>
                </c:pt>
                <c:pt idx="28">
                  <c:v>187.33333333333326</c:v>
                </c:pt>
                <c:pt idx="29">
                  <c:v>182.16666666666674</c:v>
                </c:pt>
                <c:pt idx="30">
                  <c:v>180.83333333333326</c:v>
                </c:pt>
                <c:pt idx="31">
                  <c:v>192.83333333333326</c:v>
                </c:pt>
                <c:pt idx="32">
                  <c:v>183.83333333333326</c:v>
                </c:pt>
                <c:pt idx="33">
                  <c:v>185.5</c:v>
                </c:pt>
                <c:pt idx="34">
                  <c:v>184.58333333333348</c:v>
                </c:pt>
                <c:pt idx="35">
                  <c:v>181.5</c:v>
                </c:pt>
                <c:pt idx="36">
                  <c:v>182.08333333333348</c:v>
                </c:pt>
                <c:pt idx="37">
                  <c:v>196.75</c:v>
                </c:pt>
                <c:pt idx="38">
                  <c:v>184.66666666666652</c:v>
                </c:pt>
                <c:pt idx="39">
                  <c:v>208</c:v>
                </c:pt>
                <c:pt idx="40">
                  <c:v>212.25</c:v>
                </c:pt>
                <c:pt idx="41">
                  <c:v>217.91666666666652</c:v>
                </c:pt>
                <c:pt idx="42">
                  <c:v>211.33333333333348</c:v>
                </c:pt>
                <c:pt idx="43">
                  <c:v>202.75</c:v>
                </c:pt>
                <c:pt idx="44">
                  <c:v>213.5</c:v>
                </c:pt>
                <c:pt idx="45">
                  <c:v>198.41666666666652</c:v>
                </c:pt>
                <c:pt idx="46">
                  <c:v>201.33333333333348</c:v>
                </c:pt>
                <c:pt idx="47">
                  <c:v>203.75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22528"/>
        <c:axId val="768323312"/>
      </c:lineChart>
      <c:catAx>
        <c:axId val="7683225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23312"/>
        <c:crosses val="autoZero"/>
        <c:auto val="1"/>
        <c:lblAlgn val="ctr"/>
        <c:lblOffset val="100"/>
        <c:noMultiLvlLbl val="0"/>
      </c:catAx>
      <c:valAx>
        <c:axId val="768323312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2252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and 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Span3'!$A$83:$A$154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Span3'!$B$83:$B$154</c:f>
              <c:numCache>
                <c:formatCode>0.00</c:formatCode>
                <c:ptCount val="72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Ref>
              <c:f>'Forecast MA Span3'!$A$83:$A$154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Span3'!$C$83:$C$154</c:f>
              <c:numCache>
                <c:formatCode>0.00</c:formatCode>
                <c:ptCount val="72"/>
                <c:pt idx="3">
                  <c:v>1030.3333333333333</c:v>
                </c:pt>
                <c:pt idx="4">
                  <c:v>1066</c:v>
                </c:pt>
                <c:pt idx="5">
                  <c:v>1107</c:v>
                </c:pt>
                <c:pt idx="6">
                  <c:v>1142.3333333333333</c:v>
                </c:pt>
                <c:pt idx="7">
                  <c:v>1173.3333333333333</c:v>
                </c:pt>
                <c:pt idx="8">
                  <c:v>1200.3333333333333</c:v>
                </c:pt>
                <c:pt idx="9">
                  <c:v>1226.6666666666667</c:v>
                </c:pt>
                <c:pt idx="10">
                  <c:v>1253</c:v>
                </c:pt>
                <c:pt idx="11">
                  <c:v>1282.3333333333333</c:v>
                </c:pt>
                <c:pt idx="12">
                  <c:v>1310.6666666666667</c:v>
                </c:pt>
                <c:pt idx="13">
                  <c:v>1340.3333333333333</c:v>
                </c:pt>
                <c:pt idx="14">
                  <c:v>1361.3333333333333</c:v>
                </c:pt>
                <c:pt idx="15">
                  <c:v>1384.6666666666667</c:v>
                </c:pt>
                <c:pt idx="16">
                  <c:v>1408.3333333333333</c:v>
                </c:pt>
                <c:pt idx="17">
                  <c:v>1439.6666666666667</c:v>
                </c:pt>
                <c:pt idx="18">
                  <c:v>1470.6666666666667</c:v>
                </c:pt>
                <c:pt idx="19">
                  <c:v>1500.3333333333333</c:v>
                </c:pt>
                <c:pt idx="20">
                  <c:v>1522.6666666666667</c:v>
                </c:pt>
                <c:pt idx="21">
                  <c:v>1546.3333333333333</c:v>
                </c:pt>
                <c:pt idx="22">
                  <c:v>1573</c:v>
                </c:pt>
                <c:pt idx="23">
                  <c:v>1603.3333333333333</c:v>
                </c:pt>
                <c:pt idx="24">
                  <c:v>1633.6666666666667</c:v>
                </c:pt>
                <c:pt idx="25">
                  <c:v>1664.6666666666667</c:v>
                </c:pt>
                <c:pt idx="26">
                  <c:v>1698</c:v>
                </c:pt>
                <c:pt idx="27">
                  <c:v>1730.3333333333333</c:v>
                </c:pt>
                <c:pt idx="28">
                  <c:v>1754.6666666666667</c:v>
                </c:pt>
                <c:pt idx="29">
                  <c:v>1780</c:v>
                </c:pt>
                <c:pt idx="30">
                  <c:v>1803</c:v>
                </c:pt>
                <c:pt idx="31">
                  <c:v>1826.3333333333333</c:v>
                </c:pt>
                <c:pt idx="32">
                  <c:v>1847.3333333333333</c:v>
                </c:pt>
                <c:pt idx="33">
                  <c:v>1871</c:v>
                </c:pt>
                <c:pt idx="34">
                  <c:v>1892.3333333333333</c:v>
                </c:pt>
                <c:pt idx="35">
                  <c:v>1913.3333333333333</c:v>
                </c:pt>
                <c:pt idx="36">
                  <c:v>1936.6666666666667</c:v>
                </c:pt>
                <c:pt idx="37">
                  <c:v>1962.6666666666667</c:v>
                </c:pt>
                <c:pt idx="38">
                  <c:v>1991.6666666666667</c:v>
                </c:pt>
                <c:pt idx="39">
                  <c:v>2021</c:v>
                </c:pt>
                <c:pt idx="40">
                  <c:v>2057.3333333333335</c:v>
                </c:pt>
                <c:pt idx="41">
                  <c:v>2091</c:v>
                </c:pt>
                <c:pt idx="42">
                  <c:v>2120</c:v>
                </c:pt>
                <c:pt idx="43">
                  <c:v>2144.3333333333335</c:v>
                </c:pt>
                <c:pt idx="44">
                  <c:v>2172.6666666666665</c:v>
                </c:pt>
                <c:pt idx="45">
                  <c:v>2200.3333333333335</c:v>
                </c:pt>
                <c:pt idx="46">
                  <c:v>2229.3333333333335</c:v>
                </c:pt>
                <c:pt idx="47">
                  <c:v>2254.6666666666665</c:v>
                </c:pt>
                <c:pt idx="48">
                  <c:v>2282.3333333333335</c:v>
                </c:pt>
                <c:pt idx="49">
                  <c:v>2310</c:v>
                </c:pt>
                <c:pt idx="50">
                  <c:v>2343</c:v>
                </c:pt>
                <c:pt idx="51">
                  <c:v>2373.3333333333335</c:v>
                </c:pt>
                <c:pt idx="52">
                  <c:v>2411.3333333333335</c:v>
                </c:pt>
                <c:pt idx="53">
                  <c:v>2446</c:v>
                </c:pt>
                <c:pt idx="54">
                  <c:v>2486.6666666666665</c:v>
                </c:pt>
                <c:pt idx="55">
                  <c:v>2518.3333333333335</c:v>
                </c:pt>
                <c:pt idx="56">
                  <c:v>2546.3333333333335</c:v>
                </c:pt>
                <c:pt idx="57">
                  <c:v>2576</c:v>
                </c:pt>
                <c:pt idx="58">
                  <c:v>2603</c:v>
                </c:pt>
                <c:pt idx="59">
                  <c:v>2633.6666666666665</c:v>
                </c:pt>
                <c:pt idx="60">
                  <c:v>2662</c:v>
                </c:pt>
                <c:pt idx="61">
                  <c:v>2673.3333333333335</c:v>
                </c:pt>
                <c:pt idx="62">
                  <c:v>2677.1111111111113</c:v>
                </c:pt>
                <c:pt idx="63">
                  <c:v>2670.8148148148152</c:v>
                </c:pt>
                <c:pt idx="64">
                  <c:v>2673.7530864197538</c:v>
                </c:pt>
                <c:pt idx="65">
                  <c:v>2673.8930041152271</c:v>
                </c:pt>
                <c:pt idx="66">
                  <c:v>2672.8203017832652</c:v>
                </c:pt>
                <c:pt idx="67">
                  <c:v>2673.4887974394155</c:v>
                </c:pt>
                <c:pt idx="68">
                  <c:v>2673.4007011126359</c:v>
                </c:pt>
                <c:pt idx="69">
                  <c:v>2673.2366001117721</c:v>
                </c:pt>
                <c:pt idx="70">
                  <c:v>2673.3753662212744</c:v>
                </c:pt>
                <c:pt idx="71">
                  <c:v>2673.3375558152275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022160"/>
        <c:axId val="521020200"/>
      </c:lineChart>
      <c:catAx>
        <c:axId val="5210221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521020200"/>
        <c:crosses val="autoZero"/>
        <c:auto val="1"/>
        <c:lblAlgn val="ctr"/>
        <c:lblOffset val="100"/>
        <c:noMultiLvlLbl val="0"/>
      </c:catAx>
      <c:valAx>
        <c:axId val="521020200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1022160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and 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Simple Exponential'!$A$83:$A$154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Simple Exponential'!$B$83:$B$154</c:f>
              <c:numCache>
                <c:formatCode>0.00</c:formatCode>
                <c:ptCount val="72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Ref>
              <c:f>'Forecast Simple Exponential'!$A$83:$A$154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Simple Exponential'!$D$83:$D$154</c:f>
              <c:numCache>
                <c:formatCode>0.00</c:formatCode>
                <c:ptCount val="72"/>
                <c:pt idx="1">
                  <c:v>1000</c:v>
                </c:pt>
                <c:pt idx="2">
                  <c:v>1025</c:v>
                </c:pt>
                <c:pt idx="3">
                  <c:v>1066</c:v>
                </c:pt>
                <c:pt idx="4">
                  <c:v>1107</c:v>
                </c:pt>
                <c:pt idx="5">
                  <c:v>1148</c:v>
                </c:pt>
                <c:pt idx="6">
                  <c:v>1172</c:v>
                </c:pt>
                <c:pt idx="7">
                  <c:v>1200</c:v>
                </c:pt>
                <c:pt idx="8">
                  <c:v>1229</c:v>
                </c:pt>
                <c:pt idx="9">
                  <c:v>1251</c:v>
                </c:pt>
                <c:pt idx="10">
                  <c:v>1279</c:v>
                </c:pt>
                <c:pt idx="11">
                  <c:v>1317</c:v>
                </c:pt>
                <c:pt idx="12">
                  <c:v>1336</c:v>
                </c:pt>
                <c:pt idx="13">
                  <c:v>1368</c:v>
                </c:pt>
                <c:pt idx="14">
                  <c:v>1380</c:v>
                </c:pt>
                <c:pt idx="15">
                  <c:v>1406</c:v>
                </c:pt>
                <c:pt idx="16">
                  <c:v>1439</c:v>
                </c:pt>
                <c:pt idx="17">
                  <c:v>1474</c:v>
                </c:pt>
                <c:pt idx="18">
                  <c:v>1499</c:v>
                </c:pt>
                <c:pt idx="19">
                  <c:v>1528</c:v>
                </c:pt>
                <c:pt idx="20">
                  <c:v>1541</c:v>
                </c:pt>
                <c:pt idx="21">
                  <c:v>1570</c:v>
                </c:pt>
                <c:pt idx="22">
                  <c:v>1608</c:v>
                </c:pt>
                <c:pt idx="23">
                  <c:v>1632</c:v>
                </c:pt>
                <c:pt idx="24">
                  <c:v>1661</c:v>
                </c:pt>
                <c:pt idx="25">
                  <c:v>1701</c:v>
                </c:pt>
                <c:pt idx="26">
                  <c:v>1732</c:v>
                </c:pt>
                <c:pt idx="27">
                  <c:v>1758</c:v>
                </c:pt>
                <c:pt idx="28">
                  <c:v>1774</c:v>
                </c:pt>
                <c:pt idx="29">
                  <c:v>1808</c:v>
                </c:pt>
                <c:pt idx="30">
                  <c:v>1827</c:v>
                </c:pt>
                <c:pt idx="31">
                  <c:v>1844</c:v>
                </c:pt>
                <c:pt idx="32">
                  <c:v>1871</c:v>
                </c:pt>
                <c:pt idx="33">
                  <c:v>1898</c:v>
                </c:pt>
                <c:pt idx="34">
                  <c:v>1908</c:v>
                </c:pt>
                <c:pt idx="35">
                  <c:v>1934</c:v>
                </c:pt>
                <c:pt idx="36">
                  <c:v>1968</c:v>
                </c:pt>
                <c:pt idx="37">
                  <c:v>1986</c:v>
                </c:pt>
                <c:pt idx="38">
                  <c:v>2021</c:v>
                </c:pt>
                <c:pt idx="39">
                  <c:v>2056</c:v>
                </c:pt>
                <c:pt idx="40">
                  <c:v>2095</c:v>
                </c:pt>
                <c:pt idx="41">
                  <c:v>2122</c:v>
                </c:pt>
                <c:pt idx="42">
                  <c:v>2143</c:v>
                </c:pt>
                <c:pt idx="43">
                  <c:v>2168</c:v>
                </c:pt>
                <c:pt idx="44">
                  <c:v>2207</c:v>
                </c:pt>
                <c:pt idx="45">
                  <c:v>2226</c:v>
                </c:pt>
                <c:pt idx="46">
                  <c:v>2255</c:v>
                </c:pt>
                <c:pt idx="47">
                  <c:v>2283</c:v>
                </c:pt>
                <c:pt idx="48">
                  <c:v>2309</c:v>
                </c:pt>
                <c:pt idx="49">
                  <c:v>2338</c:v>
                </c:pt>
                <c:pt idx="50">
                  <c:v>2382</c:v>
                </c:pt>
                <c:pt idx="51">
                  <c:v>2400</c:v>
                </c:pt>
                <c:pt idx="52">
                  <c:v>2452</c:v>
                </c:pt>
                <c:pt idx="53">
                  <c:v>2486</c:v>
                </c:pt>
                <c:pt idx="54">
                  <c:v>2522</c:v>
                </c:pt>
                <c:pt idx="55">
                  <c:v>2547</c:v>
                </c:pt>
                <c:pt idx="56">
                  <c:v>2570</c:v>
                </c:pt>
                <c:pt idx="57">
                  <c:v>2611</c:v>
                </c:pt>
                <c:pt idx="58">
                  <c:v>2628</c:v>
                </c:pt>
                <c:pt idx="59">
                  <c:v>2662</c:v>
                </c:pt>
                <c:pt idx="60">
                  <c:v>2696</c:v>
                </c:pt>
                <c:pt idx="61">
                  <c:v>2696</c:v>
                </c:pt>
                <c:pt idx="62">
                  <c:v>2696</c:v>
                </c:pt>
                <c:pt idx="63">
                  <c:v>2696</c:v>
                </c:pt>
                <c:pt idx="64">
                  <c:v>2696</c:v>
                </c:pt>
                <c:pt idx="65">
                  <c:v>2696</c:v>
                </c:pt>
                <c:pt idx="66">
                  <c:v>2696</c:v>
                </c:pt>
                <c:pt idx="67">
                  <c:v>2696</c:v>
                </c:pt>
                <c:pt idx="68">
                  <c:v>2696</c:v>
                </c:pt>
                <c:pt idx="69">
                  <c:v>2696</c:v>
                </c:pt>
                <c:pt idx="70">
                  <c:v>2696</c:v>
                </c:pt>
                <c:pt idx="71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11944"/>
        <c:axId val="768319392"/>
      </c:lineChart>
      <c:catAx>
        <c:axId val="7683119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19392"/>
        <c:crosses val="autoZero"/>
        <c:auto val="1"/>
        <c:lblAlgn val="ctr"/>
        <c:lblOffset val="100"/>
        <c:noMultiLvlLbl val="0"/>
      </c:catAx>
      <c:valAx>
        <c:axId val="768319392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11944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Simple Exponential'!$A$83:$A$142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Simple Exponential'!$B$83:$B$142</c:f>
              <c:numCache>
                <c:formatCode>0.00</c:formatCode>
                <c:ptCount val="60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20568"/>
        <c:axId val="768313120"/>
      </c:lineChart>
      <c:catAx>
        <c:axId val="7683205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13120"/>
        <c:crosses val="autoZero"/>
        <c:auto val="1"/>
        <c:lblAlgn val="ctr"/>
        <c:lblOffset val="100"/>
        <c:noMultiLvlLbl val="0"/>
      </c:catAx>
      <c:valAx>
        <c:axId val="768313120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2056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t>Forecast Errors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Simple Exponential'!$A$83:$A$142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Simple Exponential'!$E$84:$E$154</c:f>
              <c:numCache>
                <c:formatCode>0.00</c:formatCode>
                <c:ptCount val="71"/>
                <c:pt idx="0">
                  <c:v>25</c:v>
                </c:pt>
                <c:pt idx="1">
                  <c:v>41</c:v>
                </c:pt>
                <c:pt idx="2">
                  <c:v>41</c:v>
                </c:pt>
                <c:pt idx="3">
                  <c:v>41</c:v>
                </c:pt>
                <c:pt idx="4">
                  <c:v>24</c:v>
                </c:pt>
                <c:pt idx="5">
                  <c:v>28</c:v>
                </c:pt>
                <c:pt idx="6">
                  <c:v>29</c:v>
                </c:pt>
                <c:pt idx="7">
                  <c:v>22</c:v>
                </c:pt>
                <c:pt idx="8">
                  <c:v>28</c:v>
                </c:pt>
                <c:pt idx="9">
                  <c:v>38</c:v>
                </c:pt>
                <c:pt idx="10">
                  <c:v>19</c:v>
                </c:pt>
                <c:pt idx="11">
                  <c:v>32</c:v>
                </c:pt>
                <c:pt idx="12">
                  <c:v>12</c:v>
                </c:pt>
                <c:pt idx="13">
                  <c:v>26</c:v>
                </c:pt>
                <c:pt idx="14">
                  <c:v>33</c:v>
                </c:pt>
                <c:pt idx="15">
                  <c:v>35</c:v>
                </c:pt>
                <c:pt idx="16">
                  <c:v>25</c:v>
                </c:pt>
                <c:pt idx="17">
                  <c:v>29</c:v>
                </c:pt>
                <c:pt idx="18">
                  <c:v>13</c:v>
                </c:pt>
                <c:pt idx="19">
                  <c:v>29</c:v>
                </c:pt>
                <c:pt idx="20">
                  <c:v>38</c:v>
                </c:pt>
                <c:pt idx="21">
                  <c:v>24</c:v>
                </c:pt>
                <c:pt idx="22">
                  <c:v>29</c:v>
                </c:pt>
                <c:pt idx="23">
                  <c:v>40</c:v>
                </c:pt>
                <c:pt idx="24">
                  <c:v>31</c:v>
                </c:pt>
                <c:pt idx="25">
                  <c:v>26</c:v>
                </c:pt>
                <c:pt idx="26">
                  <c:v>16</c:v>
                </c:pt>
                <c:pt idx="27">
                  <c:v>34</c:v>
                </c:pt>
                <c:pt idx="28">
                  <c:v>19</c:v>
                </c:pt>
                <c:pt idx="29">
                  <c:v>17</c:v>
                </c:pt>
                <c:pt idx="30">
                  <c:v>27</c:v>
                </c:pt>
                <c:pt idx="31">
                  <c:v>27</c:v>
                </c:pt>
                <c:pt idx="32">
                  <c:v>10</c:v>
                </c:pt>
                <c:pt idx="33">
                  <c:v>26</c:v>
                </c:pt>
                <c:pt idx="34">
                  <c:v>34</c:v>
                </c:pt>
                <c:pt idx="35">
                  <c:v>18</c:v>
                </c:pt>
                <c:pt idx="36">
                  <c:v>35</c:v>
                </c:pt>
                <c:pt idx="37">
                  <c:v>35</c:v>
                </c:pt>
                <c:pt idx="38">
                  <c:v>39</c:v>
                </c:pt>
                <c:pt idx="39">
                  <c:v>27</c:v>
                </c:pt>
                <c:pt idx="40">
                  <c:v>21</c:v>
                </c:pt>
                <c:pt idx="41">
                  <c:v>25</c:v>
                </c:pt>
                <c:pt idx="42">
                  <c:v>39</c:v>
                </c:pt>
                <c:pt idx="43">
                  <c:v>19</c:v>
                </c:pt>
                <c:pt idx="44">
                  <c:v>29</c:v>
                </c:pt>
                <c:pt idx="45">
                  <c:v>28</c:v>
                </c:pt>
                <c:pt idx="46">
                  <c:v>26</c:v>
                </c:pt>
                <c:pt idx="47">
                  <c:v>29</c:v>
                </c:pt>
                <c:pt idx="48">
                  <c:v>44</c:v>
                </c:pt>
                <c:pt idx="49">
                  <c:v>18</c:v>
                </c:pt>
                <c:pt idx="50">
                  <c:v>52</c:v>
                </c:pt>
                <c:pt idx="51">
                  <c:v>34</c:v>
                </c:pt>
                <c:pt idx="52">
                  <c:v>36</c:v>
                </c:pt>
                <c:pt idx="53">
                  <c:v>25</c:v>
                </c:pt>
                <c:pt idx="54">
                  <c:v>23</c:v>
                </c:pt>
                <c:pt idx="55">
                  <c:v>41</c:v>
                </c:pt>
                <c:pt idx="56">
                  <c:v>17</c:v>
                </c:pt>
                <c:pt idx="57">
                  <c:v>34</c:v>
                </c:pt>
                <c:pt idx="58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16256"/>
        <c:axId val="768321744"/>
      </c:lineChart>
      <c:catAx>
        <c:axId val="768316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21744"/>
        <c:crosses val="autoZero"/>
        <c:auto val="1"/>
        <c:lblAlgn val="ctr"/>
        <c:lblOffset val="100"/>
        <c:noMultiLvlLbl val="0"/>
      </c:catAx>
      <c:valAx>
        <c:axId val="768321744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16256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and 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Simple Exponential'!$A$83:$A$154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Simple Exponential'!$B$83:$B$154</c:f>
              <c:numCache>
                <c:formatCode>0.00</c:formatCode>
                <c:ptCount val="72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Ref>
              <c:f>'Forecast Simple Exponential'!$A$83:$A$154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Simple Exponential'!$D$83:$D$154</c:f>
              <c:numCache>
                <c:formatCode>0.00</c:formatCode>
                <c:ptCount val="72"/>
                <c:pt idx="1">
                  <c:v>1000</c:v>
                </c:pt>
                <c:pt idx="2">
                  <c:v>1025</c:v>
                </c:pt>
                <c:pt idx="3">
                  <c:v>1066</c:v>
                </c:pt>
                <c:pt idx="4">
                  <c:v>1107</c:v>
                </c:pt>
                <c:pt idx="5">
                  <c:v>1148</c:v>
                </c:pt>
                <c:pt idx="6">
                  <c:v>1172</c:v>
                </c:pt>
                <c:pt idx="7">
                  <c:v>1200</c:v>
                </c:pt>
                <c:pt idx="8">
                  <c:v>1229</c:v>
                </c:pt>
                <c:pt idx="9">
                  <c:v>1251</c:v>
                </c:pt>
                <c:pt idx="10">
                  <c:v>1279</c:v>
                </c:pt>
                <c:pt idx="11">
                  <c:v>1317</c:v>
                </c:pt>
                <c:pt idx="12">
                  <c:v>1336</c:v>
                </c:pt>
                <c:pt idx="13">
                  <c:v>1368</c:v>
                </c:pt>
                <c:pt idx="14">
                  <c:v>1380</c:v>
                </c:pt>
                <c:pt idx="15">
                  <c:v>1406</c:v>
                </c:pt>
                <c:pt idx="16">
                  <c:v>1439</c:v>
                </c:pt>
                <c:pt idx="17">
                  <c:v>1474</c:v>
                </c:pt>
                <c:pt idx="18">
                  <c:v>1499</c:v>
                </c:pt>
                <c:pt idx="19">
                  <c:v>1528</c:v>
                </c:pt>
                <c:pt idx="20">
                  <c:v>1541</c:v>
                </c:pt>
                <c:pt idx="21">
                  <c:v>1570</c:v>
                </c:pt>
                <c:pt idx="22">
                  <c:v>1608</c:v>
                </c:pt>
                <c:pt idx="23">
                  <c:v>1632</c:v>
                </c:pt>
                <c:pt idx="24">
                  <c:v>1661</c:v>
                </c:pt>
                <c:pt idx="25">
                  <c:v>1701</c:v>
                </c:pt>
                <c:pt idx="26">
                  <c:v>1732</c:v>
                </c:pt>
                <c:pt idx="27">
                  <c:v>1758</c:v>
                </c:pt>
                <c:pt idx="28">
                  <c:v>1774</c:v>
                </c:pt>
                <c:pt idx="29">
                  <c:v>1808</c:v>
                </c:pt>
                <c:pt idx="30">
                  <c:v>1827</c:v>
                </c:pt>
                <c:pt idx="31">
                  <c:v>1844</c:v>
                </c:pt>
                <c:pt idx="32">
                  <c:v>1871</c:v>
                </c:pt>
                <c:pt idx="33">
                  <c:v>1898</c:v>
                </c:pt>
                <c:pt idx="34">
                  <c:v>1908</c:v>
                </c:pt>
                <c:pt idx="35">
                  <c:v>1934</c:v>
                </c:pt>
                <c:pt idx="36">
                  <c:v>1968</c:v>
                </c:pt>
                <c:pt idx="37">
                  <c:v>1986</c:v>
                </c:pt>
                <c:pt idx="38">
                  <c:v>2021</c:v>
                </c:pt>
                <c:pt idx="39">
                  <c:v>2056</c:v>
                </c:pt>
                <c:pt idx="40">
                  <c:v>2095</c:v>
                </c:pt>
                <c:pt idx="41">
                  <c:v>2122</c:v>
                </c:pt>
                <c:pt idx="42">
                  <c:v>2143</c:v>
                </c:pt>
                <c:pt idx="43">
                  <c:v>2168</c:v>
                </c:pt>
                <c:pt idx="44">
                  <c:v>2207</c:v>
                </c:pt>
                <c:pt idx="45">
                  <c:v>2226</c:v>
                </c:pt>
                <c:pt idx="46">
                  <c:v>2255</c:v>
                </c:pt>
                <c:pt idx="47">
                  <c:v>2283</c:v>
                </c:pt>
                <c:pt idx="48">
                  <c:v>2309</c:v>
                </c:pt>
                <c:pt idx="49">
                  <c:v>2338</c:v>
                </c:pt>
                <c:pt idx="50">
                  <c:v>2382</c:v>
                </c:pt>
                <c:pt idx="51">
                  <c:v>2400</c:v>
                </c:pt>
                <c:pt idx="52">
                  <c:v>2452</c:v>
                </c:pt>
                <c:pt idx="53">
                  <c:v>2486</c:v>
                </c:pt>
                <c:pt idx="54">
                  <c:v>2522</c:v>
                </c:pt>
                <c:pt idx="55">
                  <c:v>2547</c:v>
                </c:pt>
                <c:pt idx="56">
                  <c:v>2570</c:v>
                </c:pt>
                <c:pt idx="57">
                  <c:v>2611</c:v>
                </c:pt>
                <c:pt idx="58">
                  <c:v>2628</c:v>
                </c:pt>
                <c:pt idx="59">
                  <c:v>2662</c:v>
                </c:pt>
                <c:pt idx="60">
                  <c:v>2696</c:v>
                </c:pt>
                <c:pt idx="61">
                  <c:v>2696</c:v>
                </c:pt>
                <c:pt idx="62">
                  <c:v>2696</c:v>
                </c:pt>
                <c:pt idx="63">
                  <c:v>2696</c:v>
                </c:pt>
                <c:pt idx="64">
                  <c:v>2696</c:v>
                </c:pt>
                <c:pt idx="65">
                  <c:v>2696</c:v>
                </c:pt>
                <c:pt idx="66">
                  <c:v>2696</c:v>
                </c:pt>
                <c:pt idx="67">
                  <c:v>2696</c:v>
                </c:pt>
                <c:pt idx="68">
                  <c:v>2696</c:v>
                </c:pt>
                <c:pt idx="69">
                  <c:v>2696</c:v>
                </c:pt>
                <c:pt idx="70">
                  <c:v>2696</c:v>
                </c:pt>
                <c:pt idx="71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15472"/>
        <c:axId val="768319784"/>
      </c:lineChart>
      <c:catAx>
        <c:axId val="768315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19784"/>
        <c:crosses val="autoZero"/>
        <c:auto val="1"/>
        <c:lblAlgn val="ctr"/>
        <c:lblOffset val="100"/>
        <c:noMultiLvlLbl val="0"/>
      </c:catAx>
      <c:valAx>
        <c:axId val="768319784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15472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Simple Exponential'!$A$83:$A$142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Simple Exponential'!$B$83:$B$142</c:f>
              <c:numCache>
                <c:formatCode>0.00</c:formatCode>
                <c:ptCount val="60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13512"/>
        <c:axId val="768313904"/>
      </c:lineChart>
      <c:catAx>
        <c:axId val="7683135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13904"/>
        <c:crosses val="autoZero"/>
        <c:auto val="1"/>
        <c:lblAlgn val="ctr"/>
        <c:lblOffset val="100"/>
        <c:noMultiLvlLbl val="0"/>
      </c:catAx>
      <c:valAx>
        <c:axId val="768313904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13512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t>Forecast Errors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Simple Exponential'!$A$83:$A$142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Simple Exponential'!$E$84:$E$154</c:f>
              <c:numCache>
                <c:formatCode>0.00</c:formatCode>
                <c:ptCount val="71"/>
                <c:pt idx="0">
                  <c:v>25</c:v>
                </c:pt>
                <c:pt idx="1">
                  <c:v>41</c:v>
                </c:pt>
                <c:pt idx="2">
                  <c:v>41</c:v>
                </c:pt>
                <c:pt idx="3">
                  <c:v>41</c:v>
                </c:pt>
                <c:pt idx="4">
                  <c:v>24</c:v>
                </c:pt>
                <c:pt idx="5">
                  <c:v>28</c:v>
                </c:pt>
                <c:pt idx="6">
                  <c:v>29</c:v>
                </c:pt>
                <c:pt idx="7">
                  <c:v>22</c:v>
                </c:pt>
                <c:pt idx="8">
                  <c:v>28</c:v>
                </c:pt>
                <c:pt idx="9">
                  <c:v>38</c:v>
                </c:pt>
                <c:pt idx="10">
                  <c:v>19</c:v>
                </c:pt>
                <c:pt idx="11">
                  <c:v>32</c:v>
                </c:pt>
                <c:pt idx="12">
                  <c:v>12</c:v>
                </c:pt>
                <c:pt idx="13">
                  <c:v>26</c:v>
                </c:pt>
                <c:pt idx="14">
                  <c:v>33</c:v>
                </c:pt>
                <c:pt idx="15">
                  <c:v>35</c:v>
                </c:pt>
                <c:pt idx="16">
                  <c:v>25</c:v>
                </c:pt>
                <c:pt idx="17">
                  <c:v>29</c:v>
                </c:pt>
                <c:pt idx="18">
                  <c:v>13</c:v>
                </c:pt>
                <c:pt idx="19">
                  <c:v>29</c:v>
                </c:pt>
                <c:pt idx="20">
                  <c:v>38</c:v>
                </c:pt>
                <c:pt idx="21">
                  <c:v>24</c:v>
                </c:pt>
                <c:pt idx="22">
                  <c:v>29</c:v>
                </c:pt>
                <c:pt idx="23">
                  <c:v>40</c:v>
                </c:pt>
                <c:pt idx="24">
                  <c:v>31</c:v>
                </c:pt>
                <c:pt idx="25">
                  <c:v>26</c:v>
                </c:pt>
                <c:pt idx="26">
                  <c:v>16</c:v>
                </c:pt>
                <c:pt idx="27">
                  <c:v>34</c:v>
                </c:pt>
                <c:pt idx="28">
                  <c:v>19</c:v>
                </c:pt>
                <c:pt idx="29">
                  <c:v>17</c:v>
                </c:pt>
                <c:pt idx="30">
                  <c:v>27</c:v>
                </c:pt>
                <c:pt idx="31">
                  <c:v>27</c:v>
                </c:pt>
                <c:pt idx="32">
                  <c:v>10</c:v>
                </c:pt>
                <c:pt idx="33">
                  <c:v>26</c:v>
                </c:pt>
                <c:pt idx="34">
                  <c:v>34</c:v>
                </c:pt>
                <c:pt idx="35">
                  <c:v>18</c:v>
                </c:pt>
                <c:pt idx="36">
                  <c:v>35</c:v>
                </c:pt>
                <c:pt idx="37">
                  <c:v>35</c:v>
                </c:pt>
                <c:pt idx="38">
                  <c:v>39</c:v>
                </c:pt>
                <c:pt idx="39">
                  <c:v>27</c:v>
                </c:pt>
                <c:pt idx="40">
                  <c:v>21</c:v>
                </c:pt>
                <c:pt idx="41">
                  <c:v>25</c:v>
                </c:pt>
                <c:pt idx="42">
                  <c:v>39</c:v>
                </c:pt>
                <c:pt idx="43">
                  <c:v>19</c:v>
                </c:pt>
                <c:pt idx="44">
                  <c:v>29</c:v>
                </c:pt>
                <c:pt idx="45">
                  <c:v>28</c:v>
                </c:pt>
                <c:pt idx="46">
                  <c:v>26</c:v>
                </c:pt>
                <c:pt idx="47">
                  <c:v>29</c:v>
                </c:pt>
                <c:pt idx="48">
                  <c:v>44</c:v>
                </c:pt>
                <c:pt idx="49">
                  <c:v>18</c:v>
                </c:pt>
                <c:pt idx="50">
                  <c:v>52</c:v>
                </c:pt>
                <c:pt idx="51">
                  <c:v>34</c:v>
                </c:pt>
                <c:pt idx="52">
                  <c:v>36</c:v>
                </c:pt>
                <c:pt idx="53">
                  <c:v>25</c:v>
                </c:pt>
                <c:pt idx="54">
                  <c:v>23</c:v>
                </c:pt>
                <c:pt idx="55">
                  <c:v>41</c:v>
                </c:pt>
                <c:pt idx="56">
                  <c:v>17</c:v>
                </c:pt>
                <c:pt idx="57">
                  <c:v>34</c:v>
                </c:pt>
                <c:pt idx="58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14296"/>
        <c:axId val="768314688"/>
      </c:lineChart>
      <c:catAx>
        <c:axId val="768314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14688"/>
        <c:crosses val="autoZero"/>
        <c:auto val="1"/>
        <c:lblAlgn val="ctr"/>
        <c:lblOffset val="100"/>
        <c:noMultiLvlLbl val="0"/>
      </c:catAx>
      <c:valAx>
        <c:axId val="768314688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14296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and 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Holts Exponential'!$A$84:$A$155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Holts Exponential'!$B$84:$B$155</c:f>
              <c:numCache>
                <c:formatCode>0.00</c:formatCode>
                <c:ptCount val="72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Ref>
              <c:f>'Forecast Holts Exponential'!$A$84:$A$155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Holts Exponential'!$E$84:$E$155</c:f>
              <c:numCache>
                <c:formatCode>0.00</c:formatCode>
                <c:ptCount val="72"/>
                <c:pt idx="1">
                  <c:v>1028.2666666666667</c:v>
                </c:pt>
                <c:pt idx="2">
                  <c:v>1053.5913784088027</c:v>
                </c:pt>
                <c:pt idx="3">
                  <c:v>1093.033079474656</c:v>
                </c:pt>
                <c:pt idx="4">
                  <c:v>1133.8787554420107</c:v>
                </c:pt>
                <c:pt idx="5">
                  <c:v>1174.8640606924075</c:v>
                </c:pt>
                <c:pt idx="6">
                  <c:v>1200.5530788537121</c:v>
                </c:pt>
                <c:pt idx="7">
                  <c:v>1228.3232313431386</c:v>
                </c:pt>
                <c:pt idx="8">
                  <c:v>1257.2009570364312</c:v>
                </c:pt>
                <c:pt idx="9">
                  <c:v>1279.8846449244052</c:v>
                </c:pt>
                <c:pt idx="10">
                  <c:v>1307.3559087441045</c:v>
                </c:pt>
                <c:pt idx="11">
                  <c:v>1344.3092951368019</c:v>
                </c:pt>
                <c:pt idx="12">
                  <c:v>1365.0943352145432</c:v>
                </c:pt>
                <c:pt idx="13">
                  <c:v>1395.9791668677474</c:v>
                </c:pt>
                <c:pt idx="14">
                  <c:v>1409.8564827231148</c:v>
                </c:pt>
                <c:pt idx="15">
                  <c:v>1434.6507308152106</c:v>
                </c:pt>
                <c:pt idx="16">
                  <c:v>1466.8348881491272</c:v>
                </c:pt>
                <c:pt idx="17">
                  <c:v>1501.5551899578352</c:v>
                </c:pt>
                <c:pt idx="18">
                  <c:v>1527.5217341023679</c:v>
                </c:pt>
                <c:pt idx="19">
                  <c:v>1556.2200858224396</c:v>
                </c:pt>
                <c:pt idx="20">
                  <c:v>1570.7805484710007</c:v>
                </c:pt>
                <c:pt idx="21">
                  <c:v>1598.3445328256371</c:v>
                </c:pt>
                <c:pt idx="22">
                  <c:v>1635.3071405930282</c:v>
                </c:pt>
                <c:pt idx="23">
                  <c:v>1660.5960900467553</c:v>
                </c:pt>
                <c:pt idx="24">
                  <c:v>1689.2270530601834</c:v>
                </c:pt>
                <c:pt idx="25">
                  <c:v>1728.0969717809023</c:v>
                </c:pt>
                <c:pt idx="26">
                  <c:v>1759.8797978625046</c:v>
                </c:pt>
                <c:pt idx="27">
                  <c:v>1786.4548000874097</c:v>
                </c:pt>
                <c:pt idx="28">
                  <c:v>1803.5058848887722</c:v>
                </c:pt>
                <c:pt idx="29">
                  <c:v>1835.8205609481431</c:v>
                </c:pt>
                <c:pt idx="30">
                  <c:v>1856.1442680725572</c:v>
                </c:pt>
                <c:pt idx="31">
                  <c:v>1873.4742421976684</c:v>
                </c:pt>
                <c:pt idx="32">
                  <c:v>1899.5124655123259</c:v>
                </c:pt>
                <c:pt idx="33">
                  <c:v>1926.4167491006522</c:v>
                </c:pt>
                <c:pt idx="34">
                  <c:v>1938.0969912749115</c:v>
                </c:pt>
                <c:pt idx="35">
                  <c:v>1962.6727342084166</c:v>
                </c:pt>
                <c:pt idx="36">
                  <c:v>1995.7357591243942</c:v>
                </c:pt>
                <c:pt idx="37">
                  <c:v>2015.2332933347807</c:v>
                </c:pt>
                <c:pt idx="38">
                  <c:v>2048.6918743377837</c:v>
                </c:pt>
                <c:pt idx="39">
                  <c:v>2083.5389213276712</c:v>
                </c:pt>
                <c:pt idx="40">
                  <c:v>2122.1264489956443</c:v>
                </c:pt>
                <c:pt idx="41">
                  <c:v>2150.2787967737859</c:v>
                </c:pt>
                <c:pt idx="42">
                  <c:v>2171.9897454134539</c:v>
                </c:pt>
                <c:pt idx="43">
                  <c:v>2196.6624723033551</c:v>
                </c:pt>
                <c:pt idx="44">
                  <c:v>2234.238134761677</c:v>
                </c:pt>
                <c:pt idx="45">
                  <c:v>2255.0850620852993</c:v>
                </c:pt>
                <c:pt idx="46">
                  <c:v>2283.2742533757933</c:v>
                </c:pt>
                <c:pt idx="47">
                  <c:v>2311.2930553539827</c:v>
                </c:pt>
                <c:pt idx="48">
                  <c:v>2337.4937147362166</c:v>
                </c:pt>
                <c:pt idx="49">
                  <c:v>2366.2153499857945</c:v>
                </c:pt>
                <c:pt idx="50">
                  <c:v>2408.6966801827448</c:v>
                </c:pt>
                <c:pt idx="51">
                  <c:v>2429.1308917230067</c:v>
                </c:pt>
                <c:pt idx="52">
                  <c:v>2477.9928015022479</c:v>
                </c:pt>
                <c:pt idx="53">
                  <c:v>2513.4711550229636</c:v>
                </c:pt>
                <c:pt idx="54">
                  <c:v>2549.4196725006486</c:v>
                </c:pt>
                <c:pt idx="55">
                  <c:v>2575.5083661981093</c:v>
                </c:pt>
                <c:pt idx="56">
                  <c:v>2598.8152753569902</c:v>
                </c:pt>
                <c:pt idx="57">
                  <c:v>2638.0563001400792</c:v>
                </c:pt>
                <c:pt idx="58">
                  <c:v>2657.2676555178205</c:v>
                </c:pt>
                <c:pt idx="59">
                  <c:v>2689.797176644312</c:v>
                </c:pt>
                <c:pt idx="60">
                  <c:v>2723.6512274031411</c:v>
                </c:pt>
                <c:pt idx="61">
                  <c:v>2751.9193116678166</c:v>
                </c:pt>
                <c:pt idx="62">
                  <c:v>2780.1873959324921</c:v>
                </c:pt>
                <c:pt idx="63">
                  <c:v>2808.4554801971676</c:v>
                </c:pt>
                <c:pt idx="64">
                  <c:v>2836.7235644618431</c:v>
                </c:pt>
                <c:pt idx="65">
                  <c:v>2864.9916487265191</c:v>
                </c:pt>
                <c:pt idx="66">
                  <c:v>2893.2597329911946</c:v>
                </c:pt>
                <c:pt idx="67">
                  <c:v>2921.5278172558701</c:v>
                </c:pt>
                <c:pt idx="68">
                  <c:v>2949.7959015205456</c:v>
                </c:pt>
                <c:pt idx="69">
                  <c:v>2978.0639857852211</c:v>
                </c:pt>
                <c:pt idx="70">
                  <c:v>3006.3320700498966</c:v>
                </c:pt>
                <c:pt idx="71">
                  <c:v>3034.6001543145721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15864"/>
        <c:axId val="768316648"/>
      </c:lineChart>
      <c:catAx>
        <c:axId val="768315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16648"/>
        <c:crosses val="autoZero"/>
        <c:auto val="1"/>
        <c:lblAlgn val="ctr"/>
        <c:lblOffset val="100"/>
        <c:noMultiLvlLbl val="0"/>
      </c:catAx>
      <c:valAx>
        <c:axId val="768316648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15864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Holts Exponential'!$A$84:$A$143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Holts Exponential'!$B$84:$B$143</c:f>
              <c:numCache>
                <c:formatCode>0.00</c:formatCode>
                <c:ptCount val="60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18216"/>
        <c:axId val="768317824"/>
      </c:lineChart>
      <c:catAx>
        <c:axId val="768318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17824"/>
        <c:crosses val="autoZero"/>
        <c:auto val="1"/>
        <c:lblAlgn val="ctr"/>
        <c:lblOffset val="100"/>
        <c:noMultiLvlLbl val="0"/>
      </c:catAx>
      <c:valAx>
        <c:axId val="768317824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18216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t>Forecast Errors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Holts Exponential'!$A$84:$A$143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Holts Exponential'!$F$85:$F$155</c:f>
              <c:numCache>
                <c:formatCode>0.00</c:formatCode>
                <c:ptCount val="71"/>
                <c:pt idx="0">
                  <c:v>-3.2666666666666515</c:v>
                </c:pt>
                <c:pt idx="1">
                  <c:v>12.408621591197289</c:v>
                </c:pt>
                <c:pt idx="2">
                  <c:v>13.966920525343994</c:v>
                </c:pt>
                <c:pt idx="3">
                  <c:v>14.121244557989257</c:v>
                </c:pt>
                <c:pt idx="4">
                  <c:v>-2.86406069240752</c:v>
                </c:pt>
                <c:pt idx="5">
                  <c:v>-0.55307885371212251</c:v>
                </c:pt>
                <c:pt idx="6">
                  <c:v>0.67676865686144083</c:v>
                </c:pt>
                <c:pt idx="7">
                  <c:v>-6.2009570364311912</c:v>
                </c:pt>
                <c:pt idx="8">
                  <c:v>-0.88464492440516551</c:v>
                </c:pt>
                <c:pt idx="9">
                  <c:v>9.6440912558955461</c:v>
                </c:pt>
                <c:pt idx="10">
                  <c:v>-8.309295136801893</c:v>
                </c:pt>
                <c:pt idx="11">
                  <c:v>2.9056647854567927</c:v>
                </c:pt>
                <c:pt idx="12">
                  <c:v>-15.979166867747381</c:v>
                </c:pt>
                <c:pt idx="13">
                  <c:v>-3.8564827231148229</c:v>
                </c:pt>
                <c:pt idx="14">
                  <c:v>4.3492691847893639</c:v>
                </c:pt>
                <c:pt idx="15">
                  <c:v>7.1651118508727905</c:v>
                </c:pt>
                <c:pt idx="16">
                  <c:v>-2.5551899578351822</c:v>
                </c:pt>
                <c:pt idx="17">
                  <c:v>0.47826589763212723</c:v>
                </c:pt>
                <c:pt idx="18">
                  <c:v>-15.220085822439614</c:v>
                </c:pt>
                <c:pt idx="19">
                  <c:v>-0.78054847100065672</c:v>
                </c:pt>
                <c:pt idx="20">
                  <c:v>9.6554671743629115</c:v>
                </c:pt>
                <c:pt idx="21">
                  <c:v>-3.3071405930281799</c:v>
                </c:pt>
                <c:pt idx="22">
                  <c:v>0.40390995324469259</c:v>
                </c:pt>
                <c:pt idx="23">
                  <c:v>11.77294693981662</c:v>
                </c:pt>
                <c:pt idx="24">
                  <c:v>3.9030282190976777</c:v>
                </c:pt>
                <c:pt idx="25">
                  <c:v>-1.8797978625045744</c:v>
                </c:pt>
                <c:pt idx="26">
                  <c:v>-12.454800087409694</c:v>
                </c:pt>
                <c:pt idx="27">
                  <c:v>4.4941151112277566</c:v>
                </c:pt>
                <c:pt idx="28">
                  <c:v>-8.8205609481431111</c:v>
                </c:pt>
                <c:pt idx="29">
                  <c:v>-12.144268072557225</c:v>
                </c:pt>
                <c:pt idx="30">
                  <c:v>-2.4742421976684454</c:v>
                </c:pt>
                <c:pt idx="31">
                  <c:v>-1.512465512325889</c:v>
                </c:pt>
                <c:pt idx="32">
                  <c:v>-18.416749100652169</c:v>
                </c:pt>
                <c:pt idx="33">
                  <c:v>-4.0969912749114883</c:v>
                </c:pt>
                <c:pt idx="34">
                  <c:v>5.3272657915833861</c:v>
                </c:pt>
                <c:pt idx="35">
                  <c:v>-9.7357591243942352</c:v>
                </c:pt>
                <c:pt idx="36">
                  <c:v>5.7667066652193171</c:v>
                </c:pt>
                <c:pt idx="37">
                  <c:v>7.3081256622162982</c:v>
                </c:pt>
                <c:pt idx="38">
                  <c:v>11.461078672328767</c:v>
                </c:pt>
                <c:pt idx="39">
                  <c:v>-0.12644899564429579</c:v>
                </c:pt>
                <c:pt idx="40">
                  <c:v>-7.2787967737858708</c:v>
                </c:pt>
                <c:pt idx="41">
                  <c:v>-3.9897454134538748</c:v>
                </c:pt>
                <c:pt idx="42">
                  <c:v>10.337527696644884</c:v>
                </c:pt>
                <c:pt idx="43">
                  <c:v>-8.2381347616769744</c:v>
                </c:pt>
                <c:pt idx="44">
                  <c:v>-8.5062085299341561E-2</c:v>
                </c:pt>
                <c:pt idx="45">
                  <c:v>-0.2742533757932506</c:v>
                </c:pt>
                <c:pt idx="46">
                  <c:v>-2.2930553539827088</c:v>
                </c:pt>
                <c:pt idx="47">
                  <c:v>0.50628526378341121</c:v>
                </c:pt>
                <c:pt idx="48">
                  <c:v>15.784650014205454</c:v>
                </c:pt>
                <c:pt idx="49">
                  <c:v>-8.6966801827447853</c:v>
                </c:pt>
                <c:pt idx="50">
                  <c:v>22.869108276993302</c:v>
                </c:pt>
                <c:pt idx="51">
                  <c:v>8.0071984977521424</c:v>
                </c:pt>
                <c:pt idx="52">
                  <c:v>8.5288449770364423</c:v>
                </c:pt>
                <c:pt idx="53">
                  <c:v>-2.4196725006486304</c:v>
                </c:pt>
                <c:pt idx="54">
                  <c:v>-5.5083661981093428</c:v>
                </c:pt>
                <c:pt idx="55">
                  <c:v>12.184724643009758</c:v>
                </c:pt>
                <c:pt idx="56">
                  <c:v>-10.056300140079202</c:v>
                </c:pt>
                <c:pt idx="57">
                  <c:v>4.732344482179542</c:v>
                </c:pt>
                <c:pt idx="58">
                  <c:v>6.2028233556879968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25664"/>
        <c:axId val="768326840"/>
      </c:lineChart>
      <c:catAx>
        <c:axId val="7683256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26840"/>
        <c:crosses val="autoZero"/>
        <c:auto val="1"/>
        <c:lblAlgn val="ctr"/>
        <c:lblOffset val="100"/>
        <c:noMultiLvlLbl val="0"/>
      </c:catAx>
      <c:valAx>
        <c:axId val="768326840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25664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and 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Holts Exponential'!$A$84:$A$155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Holts Exponential'!$B$84:$B$155</c:f>
              <c:numCache>
                <c:formatCode>0.00</c:formatCode>
                <c:ptCount val="72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Ref>
              <c:f>'Forecast Holts Exponential'!$A$84:$A$155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Holts Exponential'!$E$84:$E$155</c:f>
              <c:numCache>
                <c:formatCode>0.00</c:formatCode>
                <c:ptCount val="72"/>
                <c:pt idx="1">
                  <c:v>1028.2666666666667</c:v>
                </c:pt>
                <c:pt idx="2">
                  <c:v>1053.5913784088027</c:v>
                </c:pt>
                <c:pt idx="3">
                  <c:v>1093.033079474656</c:v>
                </c:pt>
                <c:pt idx="4">
                  <c:v>1133.8787554420107</c:v>
                </c:pt>
                <c:pt idx="5">
                  <c:v>1174.8640606924075</c:v>
                </c:pt>
                <c:pt idx="6">
                  <c:v>1200.5530788537121</c:v>
                </c:pt>
                <c:pt idx="7">
                  <c:v>1228.3232313431386</c:v>
                </c:pt>
                <c:pt idx="8">
                  <c:v>1257.2009570364312</c:v>
                </c:pt>
                <c:pt idx="9">
                  <c:v>1279.8846449244052</c:v>
                </c:pt>
                <c:pt idx="10">
                  <c:v>1307.3559087441045</c:v>
                </c:pt>
                <c:pt idx="11">
                  <c:v>1344.3092951368019</c:v>
                </c:pt>
                <c:pt idx="12">
                  <c:v>1365.0943352145432</c:v>
                </c:pt>
                <c:pt idx="13">
                  <c:v>1395.9791668677474</c:v>
                </c:pt>
                <c:pt idx="14">
                  <c:v>1409.8564827231148</c:v>
                </c:pt>
                <c:pt idx="15">
                  <c:v>1434.6507308152106</c:v>
                </c:pt>
                <c:pt idx="16">
                  <c:v>1466.8348881491272</c:v>
                </c:pt>
                <c:pt idx="17">
                  <c:v>1501.5551899578352</c:v>
                </c:pt>
                <c:pt idx="18">
                  <c:v>1527.5217341023679</c:v>
                </c:pt>
                <c:pt idx="19">
                  <c:v>1556.2200858224396</c:v>
                </c:pt>
                <c:pt idx="20">
                  <c:v>1570.7805484710007</c:v>
                </c:pt>
                <c:pt idx="21">
                  <c:v>1598.3445328256371</c:v>
                </c:pt>
                <c:pt idx="22">
                  <c:v>1635.3071405930282</c:v>
                </c:pt>
                <c:pt idx="23">
                  <c:v>1660.5960900467553</c:v>
                </c:pt>
                <c:pt idx="24">
                  <c:v>1689.2270530601834</c:v>
                </c:pt>
                <c:pt idx="25">
                  <c:v>1728.0969717809023</c:v>
                </c:pt>
                <c:pt idx="26">
                  <c:v>1759.8797978625046</c:v>
                </c:pt>
                <c:pt idx="27">
                  <c:v>1786.4548000874097</c:v>
                </c:pt>
                <c:pt idx="28">
                  <c:v>1803.5058848887722</c:v>
                </c:pt>
                <c:pt idx="29">
                  <c:v>1835.8205609481431</c:v>
                </c:pt>
                <c:pt idx="30">
                  <c:v>1856.1442680725572</c:v>
                </c:pt>
                <c:pt idx="31">
                  <c:v>1873.4742421976684</c:v>
                </c:pt>
                <c:pt idx="32">
                  <c:v>1899.5124655123259</c:v>
                </c:pt>
                <c:pt idx="33">
                  <c:v>1926.4167491006522</c:v>
                </c:pt>
                <c:pt idx="34">
                  <c:v>1938.0969912749115</c:v>
                </c:pt>
                <c:pt idx="35">
                  <c:v>1962.6727342084166</c:v>
                </c:pt>
                <c:pt idx="36">
                  <c:v>1995.7357591243942</c:v>
                </c:pt>
                <c:pt idx="37">
                  <c:v>2015.2332933347807</c:v>
                </c:pt>
                <c:pt idx="38">
                  <c:v>2048.6918743377837</c:v>
                </c:pt>
                <c:pt idx="39">
                  <c:v>2083.5389213276712</c:v>
                </c:pt>
                <c:pt idx="40">
                  <c:v>2122.1264489956443</c:v>
                </c:pt>
                <c:pt idx="41">
                  <c:v>2150.2787967737859</c:v>
                </c:pt>
                <c:pt idx="42">
                  <c:v>2171.9897454134539</c:v>
                </c:pt>
                <c:pt idx="43">
                  <c:v>2196.6624723033551</c:v>
                </c:pt>
                <c:pt idx="44">
                  <c:v>2234.238134761677</c:v>
                </c:pt>
                <c:pt idx="45">
                  <c:v>2255.0850620852993</c:v>
                </c:pt>
                <c:pt idx="46">
                  <c:v>2283.2742533757933</c:v>
                </c:pt>
                <c:pt idx="47">
                  <c:v>2311.2930553539827</c:v>
                </c:pt>
                <c:pt idx="48">
                  <c:v>2337.4937147362166</c:v>
                </c:pt>
                <c:pt idx="49">
                  <c:v>2366.2153499857945</c:v>
                </c:pt>
                <c:pt idx="50">
                  <c:v>2408.6966801827448</c:v>
                </c:pt>
                <c:pt idx="51">
                  <c:v>2429.1308917230067</c:v>
                </c:pt>
                <c:pt idx="52">
                  <c:v>2477.9928015022479</c:v>
                </c:pt>
                <c:pt idx="53">
                  <c:v>2513.4711550229636</c:v>
                </c:pt>
                <c:pt idx="54">
                  <c:v>2549.4196725006486</c:v>
                </c:pt>
                <c:pt idx="55">
                  <c:v>2575.5083661981093</c:v>
                </c:pt>
                <c:pt idx="56">
                  <c:v>2598.8152753569902</c:v>
                </c:pt>
                <c:pt idx="57">
                  <c:v>2638.0563001400792</c:v>
                </c:pt>
                <c:pt idx="58">
                  <c:v>2657.2676555178205</c:v>
                </c:pt>
                <c:pt idx="59">
                  <c:v>2689.797176644312</c:v>
                </c:pt>
                <c:pt idx="60">
                  <c:v>2723.6512274031411</c:v>
                </c:pt>
                <c:pt idx="61">
                  <c:v>2751.9193116678166</c:v>
                </c:pt>
                <c:pt idx="62">
                  <c:v>2780.1873959324921</c:v>
                </c:pt>
                <c:pt idx="63">
                  <c:v>2808.4554801971676</c:v>
                </c:pt>
                <c:pt idx="64">
                  <c:v>2836.7235644618431</c:v>
                </c:pt>
                <c:pt idx="65">
                  <c:v>2864.9916487265191</c:v>
                </c:pt>
                <c:pt idx="66">
                  <c:v>2893.2597329911946</c:v>
                </c:pt>
                <c:pt idx="67">
                  <c:v>2921.5278172558701</c:v>
                </c:pt>
                <c:pt idx="68">
                  <c:v>2949.7959015205456</c:v>
                </c:pt>
                <c:pt idx="69">
                  <c:v>2978.0639857852211</c:v>
                </c:pt>
                <c:pt idx="70">
                  <c:v>3006.3320700498966</c:v>
                </c:pt>
                <c:pt idx="71">
                  <c:v>3034.6001543145721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28800"/>
        <c:axId val="768324880"/>
      </c:lineChart>
      <c:catAx>
        <c:axId val="768328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24880"/>
        <c:crosses val="autoZero"/>
        <c:auto val="1"/>
        <c:lblAlgn val="ctr"/>
        <c:lblOffset val="100"/>
        <c:noMultiLvlLbl val="0"/>
      </c:catAx>
      <c:valAx>
        <c:axId val="768324880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28800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Span3'!$A$83:$A$142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Span3'!$B$83:$B$142</c:f>
              <c:numCache>
                <c:formatCode>0.00</c:formatCode>
                <c:ptCount val="60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016672"/>
        <c:axId val="521019024"/>
      </c:lineChart>
      <c:catAx>
        <c:axId val="5210166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521019024"/>
        <c:crosses val="autoZero"/>
        <c:auto val="1"/>
        <c:lblAlgn val="ctr"/>
        <c:lblOffset val="100"/>
        <c:noMultiLvlLbl val="0"/>
      </c:catAx>
      <c:valAx>
        <c:axId val="521019024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1016672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Holts Exponential'!$A$84:$A$143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Holts Exponential'!$B$84:$B$143</c:f>
              <c:numCache>
                <c:formatCode>0.00</c:formatCode>
                <c:ptCount val="60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31936"/>
        <c:axId val="768325272"/>
      </c:lineChart>
      <c:catAx>
        <c:axId val="768331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25272"/>
        <c:crosses val="autoZero"/>
        <c:auto val="1"/>
        <c:lblAlgn val="ctr"/>
        <c:lblOffset val="100"/>
        <c:noMultiLvlLbl val="0"/>
      </c:catAx>
      <c:valAx>
        <c:axId val="768325272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31936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t>Forecast Errors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Holts Exponential'!$A$84:$A$143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Holts Exponential'!$F$85:$F$155</c:f>
              <c:numCache>
                <c:formatCode>0.00</c:formatCode>
                <c:ptCount val="71"/>
                <c:pt idx="0">
                  <c:v>-3.2666666666666515</c:v>
                </c:pt>
                <c:pt idx="1">
                  <c:v>12.408621591197289</c:v>
                </c:pt>
                <c:pt idx="2">
                  <c:v>13.966920525343994</c:v>
                </c:pt>
                <c:pt idx="3">
                  <c:v>14.121244557989257</c:v>
                </c:pt>
                <c:pt idx="4">
                  <c:v>-2.86406069240752</c:v>
                </c:pt>
                <c:pt idx="5">
                  <c:v>-0.55307885371212251</c:v>
                </c:pt>
                <c:pt idx="6">
                  <c:v>0.67676865686144083</c:v>
                </c:pt>
                <c:pt idx="7">
                  <c:v>-6.2009570364311912</c:v>
                </c:pt>
                <c:pt idx="8">
                  <c:v>-0.88464492440516551</c:v>
                </c:pt>
                <c:pt idx="9">
                  <c:v>9.6440912558955461</c:v>
                </c:pt>
                <c:pt idx="10">
                  <c:v>-8.309295136801893</c:v>
                </c:pt>
                <c:pt idx="11">
                  <c:v>2.9056647854567927</c:v>
                </c:pt>
                <c:pt idx="12">
                  <c:v>-15.979166867747381</c:v>
                </c:pt>
                <c:pt idx="13">
                  <c:v>-3.8564827231148229</c:v>
                </c:pt>
                <c:pt idx="14">
                  <c:v>4.3492691847893639</c:v>
                </c:pt>
                <c:pt idx="15">
                  <c:v>7.1651118508727905</c:v>
                </c:pt>
                <c:pt idx="16">
                  <c:v>-2.5551899578351822</c:v>
                </c:pt>
                <c:pt idx="17">
                  <c:v>0.47826589763212723</c:v>
                </c:pt>
                <c:pt idx="18">
                  <c:v>-15.220085822439614</c:v>
                </c:pt>
                <c:pt idx="19">
                  <c:v>-0.78054847100065672</c:v>
                </c:pt>
                <c:pt idx="20">
                  <c:v>9.6554671743629115</c:v>
                </c:pt>
                <c:pt idx="21">
                  <c:v>-3.3071405930281799</c:v>
                </c:pt>
                <c:pt idx="22">
                  <c:v>0.40390995324469259</c:v>
                </c:pt>
                <c:pt idx="23">
                  <c:v>11.77294693981662</c:v>
                </c:pt>
                <c:pt idx="24">
                  <c:v>3.9030282190976777</c:v>
                </c:pt>
                <c:pt idx="25">
                  <c:v>-1.8797978625045744</c:v>
                </c:pt>
                <c:pt idx="26">
                  <c:v>-12.454800087409694</c:v>
                </c:pt>
                <c:pt idx="27">
                  <c:v>4.4941151112277566</c:v>
                </c:pt>
                <c:pt idx="28">
                  <c:v>-8.8205609481431111</c:v>
                </c:pt>
                <c:pt idx="29">
                  <c:v>-12.144268072557225</c:v>
                </c:pt>
                <c:pt idx="30">
                  <c:v>-2.4742421976684454</c:v>
                </c:pt>
                <c:pt idx="31">
                  <c:v>-1.512465512325889</c:v>
                </c:pt>
                <c:pt idx="32">
                  <c:v>-18.416749100652169</c:v>
                </c:pt>
                <c:pt idx="33">
                  <c:v>-4.0969912749114883</c:v>
                </c:pt>
                <c:pt idx="34">
                  <c:v>5.3272657915833861</c:v>
                </c:pt>
                <c:pt idx="35">
                  <c:v>-9.7357591243942352</c:v>
                </c:pt>
                <c:pt idx="36">
                  <c:v>5.7667066652193171</c:v>
                </c:pt>
                <c:pt idx="37">
                  <c:v>7.3081256622162982</c:v>
                </c:pt>
                <c:pt idx="38">
                  <c:v>11.461078672328767</c:v>
                </c:pt>
                <c:pt idx="39">
                  <c:v>-0.12644899564429579</c:v>
                </c:pt>
                <c:pt idx="40">
                  <c:v>-7.2787967737858708</c:v>
                </c:pt>
                <c:pt idx="41">
                  <c:v>-3.9897454134538748</c:v>
                </c:pt>
                <c:pt idx="42">
                  <c:v>10.337527696644884</c:v>
                </c:pt>
                <c:pt idx="43">
                  <c:v>-8.2381347616769744</c:v>
                </c:pt>
                <c:pt idx="44">
                  <c:v>-8.5062085299341561E-2</c:v>
                </c:pt>
                <c:pt idx="45">
                  <c:v>-0.2742533757932506</c:v>
                </c:pt>
                <c:pt idx="46">
                  <c:v>-2.2930553539827088</c:v>
                </c:pt>
                <c:pt idx="47">
                  <c:v>0.50628526378341121</c:v>
                </c:pt>
                <c:pt idx="48">
                  <c:v>15.784650014205454</c:v>
                </c:pt>
                <c:pt idx="49">
                  <c:v>-8.6966801827447853</c:v>
                </c:pt>
                <c:pt idx="50">
                  <c:v>22.869108276993302</c:v>
                </c:pt>
                <c:pt idx="51">
                  <c:v>8.0071984977521424</c:v>
                </c:pt>
                <c:pt idx="52">
                  <c:v>8.5288449770364423</c:v>
                </c:pt>
                <c:pt idx="53">
                  <c:v>-2.4196725006486304</c:v>
                </c:pt>
                <c:pt idx="54">
                  <c:v>-5.5083661981093428</c:v>
                </c:pt>
                <c:pt idx="55">
                  <c:v>12.184724643009758</c:v>
                </c:pt>
                <c:pt idx="56">
                  <c:v>-10.056300140079202</c:v>
                </c:pt>
                <c:pt idx="57">
                  <c:v>4.732344482179542</c:v>
                </c:pt>
                <c:pt idx="58">
                  <c:v>6.2028233556879968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8330760"/>
        <c:axId val="768335072"/>
      </c:lineChart>
      <c:catAx>
        <c:axId val="7683307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8335072"/>
        <c:crosses val="autoZero"/>
        <c:auto val="1"/>
        <c:lblAlgn val="ctr"/>
        <c:lblOffset val="100"/>
        <c:noMultiLvlLbl val="0"/>
      </c:catAx>
      <c:valAx>
        <c:axId val="768335072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68330760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Errors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Span3'!$A$83:$A$142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Span3'!$D$86:$D$154</c:f>
              <c:numCache>
                <c:formatCode>0.00</c:formatCode>
                <c:ptCount val="69"/>
                <c:pt idx="0">
                  <c:v>76.666666666666742</c:v>
                </c:pt>
                <c:pt idx="1">
                  <c:v>82</c:v>
                </c:pt>
                <c:pt idx="2">
                  <c:v>65</c:v>
                </c:pt>
                <c:pt idx="3">
                  <c:v>57.666666666666742</c:v>
                </c:pt>
                <c:pt idx="4">
                  <c:v>55.666666666666742</c:v>
                </c:pt>
                <c:pt idx="5">
                  <c:v>50.666666666666742</c:v>
                </c:pt>
                <c:pt idx="6">
                  <c:v>52.333333333333258</c:v>
                </c:pt>
                <c:pt idx="7">
                  <c:v>64</c:v>
                </c:pt>
                <c:pt idx="8">
                  <c:v>53.666666666666742</c:v>
                </c:pt>
                <c:pt idx="9">
                  <c:v>57.333333333333258</c:v>
                </c:pt>
                <c:pt idx="10">
                  <c:v>39.666666666666742</c:v>
                </c:pt>
                <c:pt idx="11">
                  <c:v>44.666666666666742</c:v>
                </c:pt>
                <c:pt idx="12">
                  <c:v>54.333333333333258</c:v>
                </c:pt>
                <c:pt idx="13">
                  <c:v>65.666666666666742</c:v>
                </c:pt>
                <c:pt idx="14">
                  <c:v>59.333333333333258</c:v>
                </c:pt>
                <c:pt idx="15">
                  <c:v>57.333333333333258</c:v>
                </c:pt>
                <c:pt idx="16">
                  <c:v>40.666666666666742</c:v>
                </c:pt>
                <c:pt idx="17">
                  <c:v>47.333333333333258</c:v>
                </c:pt>
                <c:pt idx="18">
                  <c:v>61.666666666666742</c:v>
                </c:pt>
                <c:pt idx="19">
                  <c:v>59</c:v>
                </c:pt>
                <c:pt idx="20">
                  <c:v>57.666666666666742</c:v>
                </c:pt>
                <c:pt idx="21">
                  <c:v>67.333333333333258</c:v>
                </c:pt>
                <c:pt idx="22">
                  <c:v>67.333333333333258</c:v>
                </c:pt>
                <c:pt idx="23">
                  <c:v>60</c:v>
                </c:pt>
                <c:pt idx="24">
                  <c:v>43.666666666666742</c:v>
                </c:pt>
                <c:pt idx="25">
                  <c:v>53.333333333333258</c:v>
                </c:pt>
                <c:pt idx="26">
                  <c:v>47</c:v>
                </c:pt>
                <c:pt idx="27">
                  <c:v>41</c:v>
                </c:pt>
                <c:pt idx="28">
                  <c:v>44.666666666666742</c:v>
                </c:pt>
                <c:pt idx="29">
                  <c:v>50.666666666666742</c:v>
                </c:pt>
                <c:pt idx="30">
                  <c:v>37</c:v>
                </c:pt>
                <c:pt idx="31">
                  <c:v>41.666666666666742</c:v>
                </c:pt>
                <c:pt idx="32">
                  <c:v>54.666666666666742</c:v>
                </c:pt>
                <c:pt idx="33">
                  <c:v>49.333333333333258</c:v>
                </c:pt>
                <c:pt idx="34">
                  <c:v>58.333333333333258</c:v>
                </c:pt>
                <c:pt idx="35">
                  <c:v>64.333333333333258</c:v>
                </c:pt>
                <c:pt idx="36">
                  <c:v>74</c:v>
                </c:pt>
                <c:pt idx="37">
                  <c:v>64.666666666666515</c:v>
                </c:pt>
                <c:pt idx="38">
                  <c:v>52</c:v>
                </c:pt>
                <c:pt idx="39">
                  <c:v>48</c:v>
                </c:pt>
                <c:pt idx="40">
                  <c:v>62.666666666666515</c:v>
                </c:pt>
                <c:pt idx="41">
                  <c:v>53.333333333333485</c:v>
                </c:pt>
                <c:pt idx="42">
                  <c:v>54.666666666666515</c:v>
                </c:pt>
                <c:pt idx="43">
                  <c:v>53.666666666666515</c:v>
                </c:pt>
                <c:pt idx="44">
                  <c:v>54.333333333333485</c:v>
                </c:pt>
                <c:pt idx="45">
                  <c:v>55.666666666666515</c:v>
                </c:pt>
                <c:pt idx="46">
                  <c:v>72</c:v>
                </c:pt>
                <c:pt idx="47">
                  <c:v>57</c:v>
                </c:pt>
                <c:pt idx="48">
                  <c:v>78.666666666666515</c:v>
                </c:pt>
                <c:pt idx="49">
                  <c:v>74.666666666666515</c:v>
                </c:pt>
                <c:pt idx="50">
                  <c:v>76</c:v>
                </c:pt>
                <c:pt idx="51">
                  <c:v>60.333333333333485</c:v>
                </c:pt>
                <c:pt idx="52">
                  <c:v>51.666666666666515</c:v>
                </c:pt>
                <c:pt idx="53">
                  <c:v>64.666666666666515</c:v>
                </c:pt>
                <c:pt idx="54">
                  <c:v>52</c:v>
                </c:pt>
                <c:pt idx="55">
                  <c:v>59</c:v>
                </c:pt>
                <c:pt idx="56">
                  <c:v>62.333333333333485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017456"/>
        <c:axId val="521021768"/>
      </c:lineChart>
      <c:catAx>
        <c:axId val="521017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521021768"/>
        <c:crosses val="autoZero"/>
        <c:auto val="1"/>
        <c:lblAlgn val="ctr"/>
        <c:lblOffset val="100"/>
        <c:noMultiLvlLbl val="0"/>
      </c:catAx>
      <c:valAx>
        <c:axId val="521021768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1017456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and 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Span3'!$A$83:$A$154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Span3'!$B$83:$B$154</c:f>
              <c:numCache>
                <c:formatCode>0.00</c:formatCode>
                <c:ptCount val="72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Ref>
              <c:f>'Forecast MA Span3'!$A$83:$A$154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Span3'!$C$83:$C$154</c:f>
              <c:numCache>
                <c:formatCode>0.00</c:formatCode>
                <c:ptCount val="72"/>
                <c:pt idx="3">
                  <c:v>1030.3333333333333</c:v>
                </c:pt>
                <c:pt idx="4">
                  <c:v>1066</c:v>
                </c:pt>
                <c:pt idx="5">
                  <c:v>1107</c:v>
                </c:pt>
                <c:pt idx="6">
                  <c:v>1142.3333333333333</c:v>
                </c:pt>
                <c:pt idx="7">
                  <c:v>1173.3333333333333</c:v>
                </c:pt>
                <c:pt idx="8">
                  <c:v>1200.3333333333333</c:v>
                </c:pt>
                <c:pt idx="9">
                  <c:v>1226.6666666666667</c:v>
                </c:pt>
                <c:pt idx="10">
                  <c:v>1253</c:v>
                </c:pt>
                <c:pt idx="11">
                  <c:v>1282.3333333333333</c:v>
                </c:pt>
                <c:pt idx="12">
                  <c:v>1310.6666666666667</c:v>
                </c:pt>
                <c:pt idx="13">
                  <c:v>1340.3333333333333</c:v>
                </c:pt>
                <c:pt idx="14">
                  <c:v>1361.3333333333333</c:v>
                </c:pt>
                <c:pt idx="15">
                  <c:v>1384.6666666666667</c:v>
                </c:pt>
                <c:pt idx="16">
                  <c:v>1408.3333333333333</c:v>
                </c:pt>
                <c:pt idx="17">
                  <c:v>1439.6666666666667</c:v>
                </c:pt>
                <c:pt idx="18">
                  <c:v>1470.6666666666667</c:v>
                </c:pt>
                <c:pt idx="19">
                  <c:v>1500.3333333333333</c:v>
                </c:pt>
                <c:pt idx="20">
                  <c:v>1522.6666666666667</c:v>
                </c:pt>
                <c:pt idx="21">
                  <c:v>1546.3333333333333</c:v>
                </c:pt>
                <c:pt idx="22">
                  <c:v>1573</c:v>
                </c:pt>
                <c:pt idx="23">
                  <c:v>1603.3333333333333</c:v>
                </c:pt>
                <c:pt idx="24">
                  <c:v>1633.6666666666667</c:v>
                </c:pt>
                <c:pt idx="25">
                  <c:v>1664.6666666666667</c:v>
                </c:pt>
                <c:pt idx="26">
                  <c:v>1698</c:v>
                </c:pt>
                <c:pt idx="27">
                  <c:v>1730.3333333333333</c:v>
                </c:pt>
                <c:pt idx="28">
                  <c:v>1754.6666666666667</c:v>
                </c:pt>
                <c:pt idx="29">
                  <c:v>1780</c:v>
                </c:pt>
                <c:pt idx="30">
                  <c:v>1803</c:v>
                </c:pt>
                <c:pt idx="31">
                  <c:v>1826.3333333333333</c:v>
                </c:pt>
                <c:pt idx="32">
                  <c:v>1847.3333333333333</c:v>
                </c:pt>
                <c:pt idx="33">
                  <c:v>1871</c:v>
                </c:pt>
                <c:pt idx="34">
                  <c:v>1892.3333333333333</c:v>
                </c:pt>
                <c:pt idx="35">
                  <c:v>1913.3333333333333</c:v>
                </c:pt>
                <c:pt idx="36">
                  <c:v>1936.6666666666667</c:v>
                </c:pt>
                <c:pt idx="37">
                  <c:v>1962.6666666666667</c:v>
                </c:pt>
                <c:pt idx="38">
                  <c:v>1991.6666666666667</c:v>
                </c:pt>
                <c:pt idx="39">
                  <c:v>2021</c:v>
                </c:pt>
                <c:pt idx="40">
                  <c:v>2057.3333333333335</c:v>
                </c:pt>
                <c:pt idx="41">
                  <c:v>2091</c:v>
                </c:pt>
                <c:pt idx="42">
                  <c:v>2120</c:v>
                </c:pt>
                <c:pt idx="43">
                  <c:v>2144.3333333333335</c:v>
                </c:pt>
                <c:pt idx="44">
                  <c:v>2172.6666666666665</c:v>
                </c:pt>
                <c:pt idx="45">
                  <c:v>2200.3333333333335</c:v>
                </c:pt>
                <c:pt idx="46">
                  <c:v>2229.3333333333335</c:v>
                </c:pt>
                <c:pt idx="47">
                  <c:v>2254.6666666666665</c:v>
                </c:pt>
                <c:pt idx="48">
                  <c:v>2282.3333333333335</c:v>
                </c:pt>
                <c:pt idx="49">
                  <c:v>2310</c:v>
                </c:pt>
                <c:pt idx="50">
                  <c:v>2343</c:v>
                </c:pt>
                <c:pt idx="51">
                  <c:v>2373.3333333333335</c:v>
                </c:pt>
                <c:pt idx="52">
                  <c:v>2411.3333333333335</c:v>
                </c:pt>
                <c:pt idx="53">
                  <c:v>2446</c:v>
                </c:pt>
                <c:pt idx="54">
                  <c:v>2486.6666666666665</c:v>
                </c:pt>
                <c:pt idx="55">
                  <c:v>2518.3333333333335</c:v>
                </c:pt>
                <c:pt idx="56">
                  <c:v>2546.3333333333335</c:v>
                </c:pt>
                <c:pt idx="57">
                  <c:v>2576</c:v>
                </c:pt>
                <c:pt idx="58">
                  <c:v>2603</c:v>
                </c:pt>
                <c:pt idx="59">
                  <c:v>2633.6666666666665</c:v>
                </c:pt>
                <c:pt idx="60">
                  <c:v>2662</c:v>
                </c:pt>
                <c:pt idx="61">
                  <c:v>2673.3333333333335</c:v>
                </c:pt>
                <c:pt idx="62">
                  <c:v>2677.1111111111113</c:v>
                </c:pt>
                <c:pt idx="63">
                  <c:v>2670.8148148148152</c:v>
                </c:pt>
                <c:pt idx="64">
                  <c:v>2673.7530864197538</c:v>
                </c:pt>
                <c:pt idx="65">
                  <c:v>2673.8930041152271</c:v>
                </c:pt>
                <c:pt idx="66">
                  <c:v>2672.8203017832652</c:v>
                </c:pt>
                <c:pt idx="67">
                  <c:v>2673.4887974394155</c:v>
                </c:pt>
                <c:pt idx="68">
                  <c:v>2673.4007011126359</c:v>
                </c:pt>
                <c:pt idx="69">
                  <c:v>2673.2366001117721</c:v>
                </c:pt>
                <c:pt idx="70">
                  <c:v>2673.3753662212744</c:v>
                </c:pt>
                <c:pt idx="71">
                  <c:v>2673.3375558152275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013144"/>
        <c:axId val="521027256"/>
      </c:lineChart>
      <c:catAx>
        <c:axId val="521013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521027256"/>
        <c:crosses val="autoZero"/>
        <c:auto val="1"/>
        <c:lblAlgn val="ctr"/>
        <c:lblOffset val="100"/>
        <c:noMultiLvlLbl val="0"/>
      </c:catAx>
      <c:valAx>
        <c:axId val="521027256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1013144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Span3'!$A$83:$A$142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Span3'!$B$83:$B$142</c:f>
              <c:numCache>
                <c:formatCode>0.00</c:formatCode>
                <c:ptCount val="60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025688"/>
        <c:axId val="521027648"/>
      </c:lineChart>
      <c:catAx>
        <c:axId val="521025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521027648"/>
        <c:crosses val="autoZero"/>
        <c:auto val="1"/>
        <c:lblAlgn val="ctr"/>
        <c:lblOffset val="100"/>
        <c:noMultiLvlLbl val="0"/>
      </c:catAx>
      <c:valAx>
        <c:axId val="521027648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102568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Errors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Span3'!$A$83:$A$142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Span3'!$D$86:$D$154</c:f>
              <c:numCache>
                <c:formatCode>0.00</c:formatCode>
                <c:ptCount val="69"/>
                <c:pt idx="0">
                  <c:v>76.666666666666742</c:v>
                </c:pt>
                <c:pt idx="1">
                  <c:v>82</c:v>
                </c:pt>
                <c:pt idx="2">
                  <c:v>65</c:v>
                </c:pt>
                <c:pt idx="3">
                  <c:v>57.666666666666742</c:v>
                </c:pt>
                <c:pt idx="4">
                  <c:v>55.666666666666742</c:v>
                </c:pt>
                <c:pt idx="5">
                  <c:v>50.666666666666742</c:v>
                </c:pt>
                <c:pt idx="6">
                  <c:v>52.333333333333258</c:v>
                </c:pt>
                <c:pt idx="7">
                  <c:v>64</c:v>
                </c:pt>
                <c:pt idx="8">
                  <c:v>53.666666666666742</c:v>
                </c:pt>
                <c:pt idx="9">
                  <c:v>57.333333333333258</c:v>
                </c:pt>
                <c:pt idx="10">
                  <c:v>39.666666666666742</c:v>
                </c:pt>
                <c:pt idx="11">
                  <c:v>44.666666666666742</c:v>
                </c:pt>
                <c:pt idx="12">
                  <c:v>54.333333333333258</c:v>
                </c:pt>
                <c:pt idx="13">
                  <c:v>65.666666666666742</c:v>
                </c:pt>
                <c:pt idx="14">
                  <c:v>59.333333333333258</c:v>
                </c:pt>
                <c:pt idx="15">
                  <c:v>57.333333333333258</c:v>
                </c:pt>
                <c:pt idx="16">
                  <c:v>40.666666666666742</c:v>
                </c:pt>
                <c:pt idx="17">
                  <c:v>47.333333333333258</c:v>
                </c:pt>
                <c:pt idx="18">
                  <c:v>61.666666666666742</c:v>
                </c:pt>
                <c:pt idx="19">
                  <c:v>59</c:v>
                </c:pt>
                <c:pt idx="20">
                  <c:v>57.666666666666742</c:v>
                </c:pt>
                <c:pt idx="21">
                  <c:v>67.333333333333258</c:v>
                </c:pt>
                <c:pt idx="22">
                  <c:v>67.333333333333258</c:v>
                </c:pt>
                <c:pt idx="23">
                  <c:v>60</c:v>
                </c:pt>
                <c:pt idx="24">
                  <c:v>43.666666666666742</c:v>
                </c:pt>
                <c:pt idx="25">
                  <c:v>53.333333333333258</c:v>
                </c:pt>
                <c:pt idx="26">
                  <c:v>47</c:v>
                </c:pt>
                <c:pt idx="27">
                  <c:v>41</c:v>
                </c:pt>
                <c:pt idx="28">
                  <c:v>44.666666666666742</c:v>
                </c:pt>
                <c:pt idx="29">
                  <c:v>50.666666666666742</c:v>
                </c:pt>
                <c:pt idx="30">
                  <c:v>37</c:v>
                </c:pt>
                <c:pt idx="31">
                  <c:v>41.666666666666742</c:v>
                </c:pt>
                <c:pt idx="32">
                  <c:v>54.666666666666742</c:v>
                </c:pt>
                <c:pt idx="33">
                  <c:v>49.333333333333258</c:v>
                </c:pt>
                <c:pt idx="34">
                  <c:v>58.333333333333258</c:v>
                </c:pt>
                <c:pt idx="35">
                  <c:v>64.333333333333258</c:v>
                </c:pt>
                <c:pt idx="36">
                  <c:v>74</c:v>
                </c:pt>
                <c:pt idx="37">
                  <c:v>64.666666666666515</c:v>
                </c:pt>
                <c:pt idx="38">
                  <c:v>52</c:v>
                </c:pt>
                <c:pt idx="39">
                  <c:v>48</c:v>
                </c:pt>
                <c:pt idx="40">
                  <c:v>62.666666666666515</c:v>
                </c:pt>
                <c:pt idx="41">
                  <c:v>53.333333333333485</c:v>
                </c:pt>
                <c:pt idx="42">
                  <c:v>54.666666666666515</c:v>
                </c:pt>
                <c:pt idx="43">
                  <c:v>53.666666666666515</c:v>
                </c:pt>
                <c:pt idx="44">
                  <c:v>54.333333333333485</c:v>
                </c:pt>
                <c:pt idx="45">
                  <c:v>55.666666666666515</c:v>
                </c:pt>
                <c:pt idx="46">
                  <c:v>72</c:v>
                </c:pt>
                <c:pt idx="47">
                  <c:v>57</c:v>
                </c:pt>
                <c:pt idx="48">
                  <c:v>78.666666666666515</c:v>
                </c:pt>
                <c:pt idx="49">
                  <c:v>74.666666666666515</c:v>
                </c:pt>
                <c:pt idx="50">
                  <c:v>76</c:v>
                </c:pt>
                <c:pt idx="51">
                  <c:v>60.333333333333485</c:v>
                </c:pt>
                <c:pt idx="52">
                  <c:v>51.666666666666515</c:v>
                </c:pt>
                <c:pt idx="53">
                  <c:v>64.666666666666515</c:v>
                </c:pt>
                <c:pt idx="54">
                  <c:v>52</c:v>
                </c:pt>
                <c:pt idx="55">
                  <c:v>59</c:v>
                </c:pt>
                <c:pt idx="56">
                  <c:v>62.333333333333485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026080"/>
        <c:axId val="521025296"/>
      </c:lineChart>
      <c:catAx>
        <c:axId val="5210260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521025296"/>
        <c:crosses val="autoZero"/>
        <c:auto val="1"/>
        <c:lblAlgn val="ctr"/>
        <c:lblOffset val="100"/>
        <c:noMultiLvlLbl val="0"/>
      </c:catAx>
      <c:valAx>
        <c:axId val="521025296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1026080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and 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Span6'!$A$83:$A$154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Span6'!$B$83:$B$154</c:f>
              <c:numCache>
                <c:formatCode>0.00</c:formatCode>
                <c:ptCount val="72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Ref>
              <c:f>'Forecast MA Span6'!$A$83:$A$154</c:f>
              <c:strCache>
                <c:ptCount val="72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  <c:pt idx="60">
                  <c:v>Jan-2011</c:v>
                </c:pt>
                <c:pt idx="61">
                  <c:v>Feb-2011</c:v>
                </c:pt>
                <c:pt idx="62">
                  <c:v>Mar-2011</c:v>
                </c:pt>
                <c:pt idx="63">
                  <c:v>Apr-2011</c:v>
                </c:pt>
                <c:pt idx="64">
                  <c:v>May-2011</c:v>
                </c:pt>
                <c:pt idx="65">
                  <c:v>Jun-2011</c:v>
                </c:pt>
                <c:pt idx="66">
                  <c:v>Jul-2011</c:v>
                </c:pt>
                <c:pt idx="67">
                  <c:v>Aug-2011</c:v>
                </c:pt>
                <c:pt idx="68">
                  <c:v>Sep-2011</c:v>
                </c:pt>
                <c:pt idx="69">
                  <c:v>Oct-2011</c:v>
                </c:pt>
                <c:pt idx="70">
                  <c:v>Nov-2011</c:v>
                </c:pt>
                <c:pt idx="71">
                  <c:v>Dec-2011</c:v>
                </c:pt>
              </c:strCache>
            </c:strRef>
          </c:cat>
          <c:val>
            <c:numRef>
              <c:f>'Forecast MA Span6'!$C$83:$C$154</c:f>
              <c:numCache>
                <c:formatCode>0.00</c:formatCode>
                <c:ptCount val="72"/>
                <c:pt idx="6">
                  <c:v>1086.3333333333333</c:v>
                </c:pt>
                <c:pt idx="7">
                  <c:v>1119.6666666666667</c:v>
                </c:pt>
                <c:pt idx="8">
                  <c:v>1153.6666666666667</c:v>
                </c:pt>
                <c:pt idx="9">
                  <c:v>1184.5</c:v>
                </c:pt>
                <c:pt idx="10">
                  <c:v>1213.1666666666667</c:v>
                </c:pt>
                <c:pt idx="11">
                  <c:v>1241.3333333333333</c:v>
                </c:pt>
                <c:pt idx="12">
                  <c:v>1268.6666666666667</c:v>
                </c:pt>
                <c:pt idx="13">
                  <c:v>1296.6666666666667</c:v>
                </c:pt>
                <c:pt idx="14">
                  <c:v>1321.8333333333333</c:v>
                </c:pt>
                <c:pt idx="15">
                  <c:v>1347.6666666666667</c:v>
                </c:pt>
                <c:pt idx="16">
                  <c:v>1374.3333333333333</c:v>
                </c:pt>
                <c:pt idx="17">
                  <c:v>1400.5</c:v>
                </c:pt>
                <c:pt idx="18">
                  <c:v>1427.6666666666667</c:v>
                </c:pt>
                <c:pt idx="19">
                  <c:v>1454.3333333333333</c:v>
                </c:pt>
                <c:pt idx="20">
                  <c:v>1481.1666666666667</c:v>
                </c:pt>
                <c:pt idx="21">
                  <c:v>1508.5</c:v>
                </c:pt>
                <c:pt idx="22">
                  <c:v>1536.6666666666667</c:v>
                </c:pt>
                <c:pt idx="23">
                  <c:v>1563</c:v>
                </c:pt>
                <c:pt idx="24">
                  <c:v>1590</c:v>
                </c:pt>
                <c:pt idx="25">
                  <c:v>1618.8333333333333</c:v>
                </c:pt>
                <c:pt idx="26">
                  <c:v>1650.6666666666667</c:v>
                </c:pt>
                <c:pt idx="27">
                  <c:v>1682</c:v>
                </c:pt>
                <c:pt idx="28">
                  <c:v>1709.6666666666667</c:v>
                </c:pt>
                <c:pt idx="29">
                  <c:v>1739</c:v>
                </c:pt>
                <c:pt idx="30">
                  <c:v>1766.6666666666667</c:v>
                </c:pt>
                <c:pt idx="31">
                  <c:v>1790.5</c:v>
                </c:pt>
                <c:pt idx="32">
                  <c:v>1813.6666666666667</c:v>
                </c:pt>
                <c:pt idx="33">
                  <c:v>1837</c:v>
                </c:pt>
                <c:pt idx="34">
                  <c:v>1859.3333333333333</c:v>
                </c:pt>
                <c:pt idx="35">
                  <c:v>1880.3333333333333</c:v>
                </c:pt>
                <c:pt idx="36">
                  <c:v>1903.8333333333333</c:v>
                </c:pt>
                <c:pt idx="37">
                  <c:v>1927.5</c:v>
                </c:pt>
                <c:pt idx="38">
                  <c:v>1952.5</c:v>
                </c:pt>
                <c:pt idx="39">
                  <c:v>1978.8333333333333</c:v>
                </c:pt>
                <c:pt idx="40">
                  <c:v>2010</c:v>
                </c:pt>
                <c:pt idx="41">
                  <c:v>2041.3333333333333</c:v>
                </c:pt>
                <c:pt idx="42">
                  <c:v>2070.5</c:v>
                </c:pt>
                <c:pt idx="43">
                  <c:v>2100.8333333333335</c:v>
                </c:pt>
                <c:pt idx="44">
                  <c:v>2131.8333333333335</c:v>
                </c:pt>
                <c:pt idx="45">
                  <c:v>2160.1666666666665</c:v>
                </c:pt>
                <c:pt idx="46">
                  <c:v>2186.8333333333335</c:v>
                </c:pt>
                <c:pt idx="47">
                  <c:v>2213.6666666666665</c:v>
                </c:pt>
                <c:pt idx="48">
                  <c:v>2241.3333333333335</c:v>
                </c:pt>
                <c:pt idx="49">
                  <c:v>2269.6666666666665</c:v>
                </c:pt>
                <c:pt idx="50">
                  <c:v>2298.8333333333335</c:v>
                </c:pt>
                <c:pt idx="51">
                  <c:v>2327.8333333333335</c:v>
                </c:pt>
                <c:pt idx="52">
                  <c:v>2360.6666666666665</c:v>
                </c:pt>
                <c:pt idx="53">
                  <c:v>2394.5</c:v>
                </c:pt>
                <c:pt idx="54">
                  <c:v>2430</c:v>
                </c:pt>
                <c:pt idx="55">
                  <c:v>2464.8333333333335</c:v>
                </c:pt>
                <c:pt idx="56">
                  <c:v>2496.1666666666665</c:v>
                </c:pt>
                <c:pt idx="57">
                  <c:v>2531.3333333333335</c:v>
                </c:pt>
                <c:pt idx="58">
                  <c:v>2560.6666666666665</c:v>
                </c:pt>
                <c:pt idx="59">
                  <c:v>2590</c:v>
                </c:pt>
                <c:pt idx="60">
                  <c:v>2619</c:v>
                </c:pt>
                <c:pt idx="61">
                  <c:v>2631</c:v>
                </c:pt>
                <c:pt idx="62">
                  <c:v>2641.1666666666665</c:v>
                </c:pt>
                <c:pt idx="63">
                  <c:v>2646.1944444444443</c:v>
                </c:pt>
                <c:pt idx="64">
                  <c:v>2649.2268518518517</c:v>
                </c:pt>
                <c:pt idx="65">
                  <c:v>2647.0979938271603</c:v>
                </c:pt>
                <c:pt idx="66">
                  <c:v>2638.9476594650205</c:v>
                </c:pt>
                <c:pt idx="67">
                  <c:v>2642.2722693758574</c:v>
                </c:pt>
                <c:pt idx="68">
                  <c:v>2644.1509809385002</c:v>
                </c:pt>
                <c:pt idx="69">
                  <c:v>2644.6483666504723</c:v>
                </c:pt>
                <c:pt idx="70">
                  <c:v>2644.3906870181436</c:v>
                </c:pt>
                <c:pt idx="71">
                  <c:v>2643.5846595458593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6185248"/>
        <c:axId val="656179368"/>
      </c:lineChart>
      <c:catAx>
        <c:axId val="656185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656179368"/>
        <c:crosses val="autoZero"/>
        <c:auto val="1"/>
        <c:lblAlgn val="ctr"/>
        <c:lblOffset val="100"/>
        <c:noMultiLvlLbl val="0"/>
      </c:catAx>
      <c:valAx>
        <c:axId val="656179368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56185248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Sales1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'Forecast MA Span6'!$A$83:$A$142</c:f>
              <c:strCache>
                <c:ptCount val="60"/>
                <c:pt idx="0">
                  <c:v>Jan-2006</c:v>
                </c:pt>
                <c:pt idx="1">
                  <c:v>Feb-2006</c:v>
                </c:pt>
                <c:pt idx="2">
                  <c:v>Mar-2006</c:v>
                </c:pt>
                <c:pt idx="3">
                  <c:v>Apr-2006</c:v>
                </c:pt>
                <c:pt idx="4">
                  <c:v>May-2006</c:v>
                </c:pt>
                <c:pt idx="5">
                  <c:v>Jun-2006</c:v>
                </c:pt>
                <c:pt idx="6">
                  <c:v>Jul-2006</c:v>
                </c:pt>
                <c:pt idx="7">
                  <c:v>Aug-2006</c:v>
                </c:pt>
                <c:pt idx="8">
                  <c:v>Sep-2006</c:v>
                </c:pt>
                <c:pt idx="9">
                  <c:v>Oct-2006</c:v>
                </c:pt>
                <c:pt idx="10">
                  <c:v>Nov-2006</c:v>
                </c:pt>
                <c:pt idx="11">
                  <c:v>Dec-2006</c:v>
                </c:pt>
                <c:pt idx="12">
                  <c:v>Jan-2007</c:v>
                </c:pt>
                <c:pt idx="13">
                  <c:v>Feb-2007</c:v>
                </c:pt>
                <c:pt idx="14">
                  <c:v>Mar-2007</c:v>
                </c:pt>
                <c:pt idx="15">
                  <c:v>Apr-2007</c:v>
                </c:pt>
                <c:pt idx="16">
                  <c:v>May-2007</c:v>
                </c:pt>
                <c:pt idx="17">
                  <c:v>Jun-2007</c:v>
                </c:pt>
                <c:pt idx="18">
                  <c:v>Jul-2007</c:v>
                </c:pt>
                <c:pt idx="19">
                  <c:v>Aug-2007</c:v>
                </c:pt>
                <c:pt idx="20">
                  <c:v>Sep-2007</c:v>
                </c:pt>
                <c:pt idx="21">
                  <c:v>Oct-2007</c:v>
                </c:pt>
                <c:pt idx="22">
                  <c:v>Nov-2007</c:v>
                </c:pt>
                <c:pt idx="23">
                  <c:v>Dec-2007</c:v>
                </c:pt>
                <c:pt idx="24">
                  <c:v>Jan-2008</c:v>
                </c:pt>
                <c:pt idx="25">
                  <c:v>Feb-2008</c:v>
                </c:pt>
                <c:pt idx="26">
                  <c:v>Mar-2008</c:v>
                </c:pt>
                <c:pt idx="27">
                  <c:v>Apr-2008</c:v>
                </c:pt>
                <c:pt idx="28">
                  <c:v>May-2008</c:v>
                </c:pt>
                <c:pt idx="29">
                  <c:v>Jun-2008</c:v>
                </c:pt>
                <c:pt idx="30">
                  <c:v>Jul-2008</c:v>
                </c:pt>
                <c:pt idx="31">
                  <c:v>Aug-2008</c:v>
                </c:pt>
                <c:pt idx="32">
                  <c:v>Sep-2008</c:v>
                </c:pt>
                <c:pt idx="33">
                  <c:v>Oct-2008</c:v>
                </c:pt>
                <c:pt idx="34">
                  <c:v>Nov-2008</c:v>
                </c:pt>
                <c:pt idx="35">
                  <c:v>Dec-2008</c:v>
                </c:pt>
                <c:pt idx="36">
                  <c:v>Jan-2009</c:v>
                </c:pt>
                <c:pt idx="37">
                  <c:v>Feb-2009</c:v>
                </c:pt>
                <c:pt idx="38">
                  <c:v>Mar-2009</c:v>
                </c:pt>
                <c:pt idx="39">
                  <c:v>Apr-2009</c:v>
                </c:pt>
                <c:pt idx="40">
                  <c:v>May-2009</c:v>
                </c:pt>
                <c:pt idx="41">
                  <c:v>Jun-2009</c:v>
                </c:pt>
                <c:pt idx="42">
                  <c:v>Jul-2009</c:v>
                </c:pt>
                <c:pt idx="43">
                  <c:v>Aug-2009</c:v>
                </c:pt>
                <c:pt idx="44">
                  <c:v>Sep-2009</c:v>
                </c:pt>
                <c:pt idx="45">
                  <c:v>Oct-2009</c:v>
                </c:pt>
                <c:pt idx="46">
                  <c:v>Nov-2009</c:v>
                </c:pt>
                <c:pt idx="47">
                  <c:v>Dec-2009</c:v>
                </c:pt>
                <c:pt idx="48">
                  <c:v>Jan-2010</c:v>
                </c:pt>
                <c:pt idx="49">
                  <c:v>Feb-2010</c:v>
                </c:pt>
                <c:pt idx="50">
                  <c:v>Mar-2010</c:v>
                </c:pt>
                <c:pt idx="51">
                  <c:v>Apr-2010</c:v>
                </c:pt>
                <c:pt idx="52">
                  <c:v>May-2010</c:v>
                </c:pt>
                <c:pt idx="53">
                  <c:v>Jun-2010</c:v>
                </c:pt>
                <c:pt idx="54">
                  <c:v>Jul-2010</c:v>
                </c:pt>
                <c:pt idx="55">
                  <c:v>Aug-2010</c:v>
                </c:pt>
                <c:pt idx="56">
                  <c:v>Sep-2010</c:v>
                </c:pt>
                <c:pt idx="57">
                  <c:v>Oct-2010</c:v>
                </c:pt>
                <c:pt idx="58">
                  <c:v>Nov-2010</c:v>
                </c:pt>
                <c:pt idx="59">
                  <c:v>Dec-2010</c:v>
                </c:pt>
              </c:strCache>
            </c:strRef>
          </c:cat>
          <c:val>
            <c:numRef>
              <c:f>'Forecast MA Span6'!$B$83:$B$142</c:f>
              <c:numCache>
                <c:formatCode>0.00</c:formatCode>
                <c:ptCount val="60"/>
                <c:pt idx="0">
                  <c:v>1000</c:v>
                </c:pt>
                <c:pt idx="1">
                  <c:v>1025</c:v>
                </c:pt>
                <c:pt idx="2">
                  <c:v>1066</c:v>
                </c:pt>
                <c:pt idx="3">
                  <c:v>1107</c:v>
                </c:pt>
                <c:pt idx="4">
                  <c:v>1148</c:v>
                </c:pt>
                <c:pt idx="5">
                  <c:v>1172</c:v>
                </c:pt>
                <c:pt idx="6">
                  <c:v>1200</c:v>
                </c:pt>
                <c:pt idx="7">
                  <c:v>1229</c:v>
                </c:pt>
                <c:pt idx="8">
                  <c:v>1251</c:v>
                </c:pt>
                <c:pt idx="9">
                  <c:v>1279</c:v>
                </c:pt>
                <c:pt idx="10">
                  <c:v>1317</c:v>
                </c:pt>
                <c:pt idx="11">
                  <c:v>1336</c:v>
                </c:pt>
                <c:pt idx="12">
                  <c:v>1368</c:v>
                </c:pt>
                <c:pt idx="13">
                  <c:v>1380</c:v>
                </c:pt>
                <c:pt idx="14">
                  <c:v>1406</c:v>
                </c:pt>
                <c:pt idx="15">
                  <c:v>1439</c:v>
                </c:pt>
                <c:pt idx="16">
                  <c:v>1474</c:v>
                </c:pt>
                <c:pt idx="17">
                  <c:v>1499</c:v>
                </c:pt>
                <c:pt idx="18">
                  <c:v>1528</c:v>
                </c:pt>
                <c:pt idx="19">
                  <c:v>1541</c:v>
                </c:pt>
                <c:pt idx="20">
                  <c:v>1570</c:v>
                </c:pt>
                <c:pt idx="21">
                  <c:v>1608</c:v>
                </c:pt>
                <c:pt idx="22">
                  <c:v>1632</c:v>
                </c:pt>
                <c:pt idx="23">
                  <c:v>1661</c:v>
                </c:pt>
                <c:pt idx="24">
                  <c:v>1701</c:v>
                </c:pt>
                <c:pt idx="25">
                  <c:v>1732</c:v>
                </c:pt>
                <c:pt idx="26">
                  <c:v>1758</c:v>
                </c:pt>
                <c:pt idx="27">
                  <c:v>1774</c:v>
                </c:pt>
                <c:pt idx="28">
                  <c:v>1808</c:v>
                </c:pt>
                <c:pt idx="29">
                  <c:v>1827</c:v>
                </c:pt>
                <c:pt idx="30">
                  <c:v>1844</c:v>
                </c:pt>
                <c:pt idx="31">
                  <c:v>1871</c:v>
                </c:pt>
                <c:pt idx="32">
                  <c:v>1898</c:v>
                </c:pt>
                <c:pt idx="33">
                  <c:v>1908</c:v>
                </c:pt>
                <c:pt idx="34">
                  <c:v>1934</c:v>
                </c:pt>
                <c:pt idx="35">
                  <c:v>1968</c:v>
                </c:pt>
                <c:pt idx="36">
                  <c:v>1986</c:v>
                </c:pt>
                <c:pt idx="37">
                  <c:v>2021</c:v>
                </c:pt>
                <c:pt idx="38">
                  <c:v>2056</c:v>
                </c:pt>
                <c:pt idx="39">
                  <c:v>2095</c:v>
                </c:pt>
                <c:pt idx="40">
                  <c:v>2122</c:v>
                </c:pt>
                <c:pt idx="41">
                  <c:v>2143</c:v>
                </c:pt>
                <c:pt idx="42">
                  <c:v>2168</c:v>
                </c:pt>
                <c:pt idx="43">
                  <c:v>2207</c:v>
                </c:pt>
                <c:pt idx="44">
                  <c:v>2226</c:v>
                </c:pt>
                <c:pt idx="45">
                  <c:v>2255</c:v>
                </c:pt>
                <c:pt idx="46">
                  <c:v>2283</c:v>
                </c:pt>
                <c:pt idx="47">
                  <c:v>2309</c:v>
                </c:pt>
                <c:pt idx="48">
                  <c:v>2338</c:v>
                </c:pt>
                <c:pt idx="49">
                  <c:v>2382</c:v>
                </c:pt>
                <c:pt idx="50">
                  <c:v>2400</c:v>
                </c:pt>
                <c:pt idx="51">
                  <c:v>2452</c:v>
                </c:pt>
                <c:pt idx="52">
                  <c:v>2486</c:v>
                </c:pt>
                <c:pt idx="53">
                  <c:v>2522</c:v>
                </c:pt>
                <c:pt idx="54">
                  <c:v>2547</c:v>
                </c:pt>
                <c:pt idx="55">
                  <c:v>2570</c:v>
                </c:pt>
                <c:pt idx="56">
                  <c:v>2611</c:v>
                </c:pt>
                <c:pt idx="57">
                  <c:v>2628</c:v>
                </c:pt>
                <c:pt idx="58">
                  <c:v>2662</c:v>
                </c:pt>
                <c:pt idx="59">
                  <c:v>2696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6181328"/>
        <c:axId val="521501216"/>
      </c:lineChart>
      <c:catAx>
        <c:axId val="656181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521501216"/>
        <c:crosses val="autoZero"/>
        <c:auto val="1"/>
        <c:lblAlgn val="ctr"/>
        <c:lblOffset val="100"/>
        <c:noMultiLvlLbl val="0"/>
      </c:catAx>
      <c:valAx>
        <c:axId val="521501216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5618132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</xdr:row>
      <xdr:rowOff>0</xdr:rowOff>
    </xdr:from>
    <xdr:to>
      <xdr:col>4</xdr:col>
      <xdr:colOff>666750</xdr:colOff>
      <xdr:row>25</xdr:row>
      <xdr:rowOff>98425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16</xdr:row>
      <xdr:rowOff>0</xdr:rowOff>
    </xdr:from>
    <xdr:to>
      <xdr:col>4</xdr:col>
      <xdr:colOff>695325</xdr:colOff>
      <xdr:row>35</xdr:row>
      <xdr:rowOff>98425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37</xdr:row>
      <xdr:rowOff>0</xdr:rowOff>
    </xdr:from>
    <xdr:to>
      <xdr:col>4</xdr:col>
      <xdr:colOff>695325</xdr:colOff>
      <xdr:row>56</xdr:row>
      <xdr:rowOff>98425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12700</xdr:colOff>
      <xdr:row>58</xdr:row>
      <xdr:rowOff>0</xdr:rowOff>
    </xdr:from>
    <xdr:to>
      <xdr:col>4</xdr:col>
      <xdr:colOff>695325</xdr:colOff>
      <xdr:row>77</xdr:row>
      <xdr:rowOff>98425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12700</xdr:colOff>
      <xdr:row>16</xdr:row>
      <xdr:rowOff>0</xdr:rowOff>
    </xdr:from>
    <xdr:to>
      <xdr:col>4</xdr:col>
      <xdr:colOff>695325</xdr:colOff>
      <xdr:row>35</xdr:row>
      <xdr:rowOff>98425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12700</xdr:colOff>
      <xdr:row>37</xdr:row>
      <xdr:rowOff>0</xdr:rowOff>
    </xdr:from>
    <xdr:to>
      <xdr:col>4</xdr:col>
      <xdr:colOff>695325</xdr:colOff>
      <xdr:row>56</xdr:row>
      <xdr:rowOff>98425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12700</xdr:colOff>
      <xdr:row>58</xdr:row>
      <xdr:rowOff>0</xdr:rowOff>
    </xdr:from>
    <xdr:to>
      <xdr:col>4</xdr:col>
      <xdr:colOff>695325</xdr:colOff>
      <xdr:row>77</xdr:row>
      <xdr:rowOff>98425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16</xdr:row>
      <xdr:rowOff>0</xdr:rowOff>
    </xdr:from>
    <xdr:to>
      <xdr:col>4</xdr:col>
      <xdr:colOff>695325</xdr:colOff>
      <xdr:row>35</xdr:row>
      <xdr:rowOff>98425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37</xdr:row>
      <xdr:rowOff>0</xdr:rowOff>
    </xdr:from>
    <xdr:to>
      <xdr:col>4</xdr:col>
      <xdr:colOff>695325</xdr:colOff>
      <xdr:row>56</xdr:row>
      <xdr:rowOff>98425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12700</xdr:colOff>
      <xdr:row>58</xdr:row>
      <xdr:rowOff>0</xdr:rowOff>
    </xdr:from>
    <xdr:to>
      <xdr:col>4</xdr:col>
      <xdr:colOff>695325</xdr:colOff>
      <xdr:row>77</xdr:row>
      <xdr:rowOff>98425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12700</xdr:colOff>
      <xdr:row>16</xdr:row>
      <xdr:rowOff>0</xdr:rowOff>
    </xdr:from>
    <xdr:to>
      <xdr:col>4</xdr:col>
      <xdr:colOff>695325</xdr:colOff>
      <xdr:row>35</xdr:row>
      <xdr:rowOff>98425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12700</xdr:colOff>
      <xdr:row>37</xdr:row>
      <xdr:rowOff>0</xdr:rowOff>
    </xdr:from>
    <xdr:to>
      <xdr:col>4</xdr:col>
      <xdr:colOff>695325</xdr:colOff>
      <xdr:row>56</xdr:row>
      <xdr:rowOff>98425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12700</xdr:colOff>
      <xdr:row>58</xdr:row>
      <xdr:rowOff>0</xdr:rowOff>
    </xdr:from>
    <xdr:to>
      <xdr:col>4</xdr:col>
      <xdr:colOff>695325</xdr:colOff>
      <xdr:row>77</xdr:row>
      <xdr:rowOff>98425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16</xdr:row>
      <xdr:rowOff>0</xdr:rowOff>
    </xdr:from>
    <xdr:to>
      <xdr:col>4</xdr:col>
      <xdr:colOff>695325</xdr:colOff>
      <xdr:row>35</xdr:row>
      <xdr:rowOff>98425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37</xdr:row>
      <xdr:rowOff>0</xdr:rowOff>
    </xdr:from>
    <xdr:to>
      <xdr:col>4</xdr:col>
      <xdr:colOff>695325</xdr:colOff>
      <xdr:row>56</xdr:row>
      <xdr:rowOff>98425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12700</xdr:colOff>
      <xdr:row>58</xdr:row>
      <xdr:rowOff>0</xdr:rowOff>
    </xdr:from>
    <xdr:to>
      <xdr:col>4</xdr:col>
      <xdr:colOff>695325</xdr:colOff>
      <xdr:row>77</xdr:row>
      <xdr:rowOff>98425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12700</xdr:colOff>
      <xdr:row>16</xdr:row>
      <xdr:rowOff>0</xdr:rowOff>
    </xdr:from>
    <xdr:to>
      <xdr:col>4</xdr:col>
      <xdr:colOff>695325</xdr:colOff>
      <xdr:row>35</xdr:row>
      <xdr:rowOff>98425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12700</xdr:colOff>
      <xdr:row>37</xdr:row>
      <xdr:rowOff>0</xdr:rowOff>
    </xdr:from>
    <xdr:to>
      <xdr:col>4</xdr:col>
      <xdr:colOff>695325</xdr:colOff>
      <xdr:row>56</xdr:row>
      <xdr:rowOff>98425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12700</xdr:colOff>
      <xdr:row>58</xdr:row>
      <xdr:rowOff>0</xdr:rowOff>
    </xdr:from>
    <xdr:to>
      <xdr:col>4</xdr:col>
      <xdr:colOff>695325</xdr:colOff>
      <xdr:row>77</xdr:row>
      <xdr:rowOff>98425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16</xdr:row>
      <xdr:rowOff>0</xdr:rowOff>
    </xdr:from>
    <xdr:to>
      <xdr:col>4</xdr:col>
      <xdr:colOff>28575</xdr:colOff>
      <xdr:row>35</xdr:row>
      <xdr:rowOff>98425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37</xdr:row>
      <xdr:rowOff>0</xdr:rowOff>
    </xdr:from>
    <xdr:to>
      <xdr:col>4</xdr:col>
      <xdr:colOff>28575</xdr:colOff>
      <xdr:row>56</xdr:row>
      <xdr:rowOff>98425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12700</xdr:colOff>
      <xdr:row>58</xdr:row>
      <xdr:rowOff>0</xdr:rowOff>
    </xdr:from>
    <xdr:to>
      <xdr:col>4</xdr:col>
      <xdr:colOff>28575</xdr:colOff>
      <xdr:row>77</xdr:row>
      <xdr:rowOff>98425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12700</xdr:colOff>
      <xdr:row>16</xdr:row>
      <xdr:rowOff>0</xdr:rowOff>
    </xdr:from>
    <xdr:to>
      <xdr:col>4</xdr:col>
      <xdr:colOff>28575</xdr:colOff>
      <xdr:row>35</xdr:row>
      <xdr:rowOff>98425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12700</xdr:colOff>
      <xdr:row>37</xdr:row>
      <xdr:rowOff>0</xdr:rowOff>
    </xdr:from>
    <xdr:to>
      <xdr:col>4</xdr:col>
      <xdr:colOff>28575</xdr:colOff>
      <xdr:row>56</xdr:row>
      <xdr:rowOff>98425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12700</xdr:colOff>
      <xdr:row>58</xdr:row>
      <xdr:rowOff>0</xdr:rowOff>
    </xdr:from>
    <xdr:to>
      <xdr:col>4</xdr:col>
      <xdr:colOff>28575</xdr:colOff>
      <xdr:row>77</xdr:row>
      <xdr:rowOff>98425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17</xdr:row>
      <xdr:rowOff>0</xdr:rowOff>
    </xdr:from>
    <xdr:to>
      <xdr:col>3</xdr:col>
      <xdr:colOff>828675</xdr:colOff>
      <xdr:row>36</xdr:row>
      <xdr:rowOff>98425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38</xdr:row>
      <xdr:rowOff>0</xdr:rowOff>
    </xdr:from>
    <xdr:to>
      <xdr:col>3</xdr:col>
      <xdr:colOff>828675</xdr:colOff>
      <xdr:row>57</xdr:row>
      <xdr:rowOff>98425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12700</xdr:colOff>
      <xdr:row>59</xdr:row>
      <xdr:rowOff>0</xdr:rowOff>
    </xdr:from>
    <xdr:to>
      <xdr:col>3</xdr:col>
      <xdr:colOff>828675</xdr:colOff>
      <xdr:row>78</xdr:row>
      <xdr:rowOff>98425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158749</xdr:colOff>
      <xdr:row>8</xdr:row>
      <xdr:rowOff>69849</xdr:rowOff>
    </xdr:from>
    <xdr:to>
      <xdr:col>8</xdr:col>
      <xdr:colOff>276225</xdr:colOff>
      <xdr:row>21</xdr:row>
      <xdr:rowOff>123825</xdr:rowOff>
    </xdr:to>
    <xdr:sp macro="" textlink="">
      <xdr:nvSpPr>
        <xdr:cNvPr id="9" name="TextBox 8"/>
        <xdr:cNvSpPr txBox="1"/>
      </xdr:nvSpPr>
      <xdr:spPr>
        <a:xfrm>
          <a:off x="5016499" y="1574799"/>
          <a:ext cx="3508376" cy="2159001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Holt's exponential smoothing method yields the lowest MAPE and other error measures. Compare with previous sheets. Besides, it is the only that forecasts the upward</a:t>
          </a:r>
          <a:r>
            <a:rPr lang="en-US" sz="1100" baseline="0"/>
            <a:t> trend to continue into the future. This isn't surprising. Moving averages and simple exponential smoothing aren't built to capture trend well.</a:t>
          </a:r>
        </a:p>
        <a:p>
          <a:endParaRPr lang="en-US" sz="1100" baseline="0"/>
        </a:p>
        <a:p>
          <a:r>
            <a:rPr lang="en-US" sz="1100" baseline="0"/>
            <a:t>You can see the effect of smoothing constants (in this sheet or the previous sheet) by using different ones in cells B9 and B10.</a:t>
          </a:r>
          <a:endParaRPr lang="en-US" sz="1100"/>
        </a:p>
      </xdr:txBody>
    </xdr:sp>
    <xdr:clientData/>
  </xdr:twoCellAnchor>
  <xdr:twoCellAnchor editAs="oneCell">
    <xdr:from>
      <xdr:col>0</xdr:col>
      <xdr:colOff>12700</xdr:colOff>
      <xdr:row>17</xdr:row>
      <xdr:rowOff>0</xdr:rowOff>
    </xdr:from>
    <xdr:to>
      <xdr:col>3</xdr:col>
      <xdr:colOff>828675</xdr:colOff>
      <xdr:row>36</xdr:row>
      <xdr:rowOff>98425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12700</xdr:colOff>
      <xdr:row>38</xdr:row>
      <xdr:rowOff>0</xdr:rowOff>
    </xdr:from>
    <xdr:to>
      <xdr:col>3</xdr:col>
      <xdr:colOff>828675</xdr:colOff>
      <xdr:row>57</xdr:row>
      <xdr:rowOff>98425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12700</xdr:colOff>
      <xdr:row>59</xdr:row>
      <xdr:rowOff>0</xdr:rowOff>
    </xdr:from>
    <xdr:to>
      <xdr:col>3</xdr:col>
      <xdr:colOff>828675</xdr:colOff>
      <xdr:row>78</xdr:row>
      <xdr:rowOff>98425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workbookViewId="0"/>
  </sheetViews>
  <sheetFormatPr defaultRowHeight="15" x14ac:dyDescent="0.25"/>
  <cols>
    <col min="1" max="1" width="9.140625" style="1"/>
    <col min="2" max="2" width="8.85546875" style="2" customWidth="1"/>
    <col min="3" max="16384" width="9.140625" style="1"/>
  </cols>
  <sheetData>
    <row r="1" spans="1:4" s="3" customFormat="1" x14ac:dyDescent="0.25">
      <c r="A1" s="14" t="s">
        <v>0</v>
      </c>
      <c r="B1" s="7" t="s">
        <v>3</v>
      </c>
      <c r="C1" s="6" t="s">
        <v>1</v>
      </c>
      <c r="D1" s="6" t="s">
        <v>2</v>
      </c>
    </row>
    <row r="2" spans="1:4" x14ac:dyDescent="0.25">
      <c r="A2" s="13">
        <v>38718</v>
      </c>
      <c r="B2" s="8">
        <v>1</v>
      </c>
      <c r="C2" s="9">
        <v>1000</v>
      </c>
      <c r="D2" s="9">
        <v>747</v>
      </c>
    </row>
    <row r="3" spans="1:4" x14ac:dyDescent="0.25">
      <c r="A3" s="13">
        <v>38749</v>
      </c>
      <c r="B3" s="8">
        <v>2</v>
      </c>
      <c r="C3" s="9">
        <v>1025</v>
      </c>
      <c r="D3" s="9">
        <v>697</v>
      </c>
    </row>
    <row r="4" spans="1:4" x14ac:dyDescent="0.25">
      <c r="A4" s="13">
        <v>38777</v>
      </c>
      <c r="B4" s="8">
        <v>3</v>
      </c>
      <c r="C4" s="9">
        <v>1066</v>
      </c>
      <c r="D4" s="9">
        <v>1014</v>
      </c>
    </row>
    <row r="5" spans="1:4" x14ac:dyDescent="0.25">
      <c r="A5" s="13">
        <v>38808</v>
      </c>
      <c r="B5" s="8">
        <v>4</v>
      </c>
      <c r="C5" s="9">
        <v>1107</v>
      </c>
      <c r="D5" s="9">
        <v>1126</v>
      </c>
    </row>
    <row r="6" spans="1:4" x14ac:dyDescent="0.25">
      <c r="A6" s="13">
        <v>38838</v>
      </c>
      <c r="B6" s="8">
        <v>5</v>
      </c>
      <c r="C6" s="9">
        <v>1148</v>
      </c>
      <c r="D6" s="9">
        <v>1105</v>
      </c>
    </row>
    <row r="7" spans="1:4" x14ac:dyDescent="0.25">
      <c r="A7" s="13">
        <v>38869</v>
      </c>
      <c r="B7" s="8">
        <v>6</v>
      </c>
      <c r="C7" s="9">
        <v>1172</v>
      </c>
      <c r="D7" s="9">
        <v>1450</v>
      </c>
    </row>
    <row r="8" spans="1:4" x14ac:dyDescent="0.25">
      <c r="A8" s="13">
        <v>38899</v>
      </c>
      <c r="B8" s="8">
        <v>7</v>
      </c>
      <c r="C8" s="9">
        <v>1200</v>
      </c>
      <c r="D8" s="9">
        <v>1639</v>
      </c>
    </row>
    <row r="9" spans="1:4" x14ac:dyDescent="0.25">
      <c r="A9" s="13">
        <v>38930</v>
      </c>
      <c r="B9" s="8">
        <v>8</v>
      </c>
      <c r="C9" s="9">
        <v>1229</v>
      </c>
      <c r="D9" s="9">
        <v>1711</v>
      </c>
    </row>
    <row r="10" spans="1:4" x14ac:dyDescent="0.25">
      <c r="A10" s="13">
        <v>38961</v>
      </c>
      <c r="B10" s="8">
        <v>9</v>
      </c>
      <c r="C10" s="9">
        <v>1251</v>
      </c>
      <c r="D10" s="9">
        <v>1307</v>
      </c>
    </row>
    <row r="11" spans="1:4" x14ac:dyDescent="0.25">
      <c r="A11" s="13">
        <v>38991</v>
      </c>
      <c r="B11" s="8">
        <v>10</v>
      </c>
      <c r="C11" s="9">
        <v>1279</v>
      </c>
      <c r="D11" s="9">
        <v>1223</v>
      </c>
    </row>
    <row r="12" spans="1:4" x14ac:dyDescent="0.25">
      <c r="A12" s="13">
        <v>39022</v>
      </c>
      <c r="B12" s="8">
        <v>11</v>
      </c>
      <c r="C12" s="9">
        <v>1317</v>
      </c>
      <c r="D12" s="9">
        <v>975</v>
      </c>
    </row>
    <row r="13" spans="1:4" x14ac:dyDescent="0.25">
      <c r="A13" s="13">
        <v>39052</v>
      </c>
      <c r="B13" s="8">
        <v>12</v>
      </c>
      <c r="C13" s="9">
        <v>1336</v>
      </c>
      <c r="D13" s="9">
        <v>953</v>
      </c>
    </row>
    <row r="14" spans="1:4" x14ac:dyDescent="0.25">
      <c r="A14" s="13">
        <v>39083</v>
      </c>
      <c r="B14" s="8">
        <v>13</v>
      </c>
      <c r="C14" s="9">
        <v>1368</v>
      </c>
      <c r="D14" s="9">
        <v>1024</v>
      </c>
    </row>
    <row r="15" spans="1:4" x14ac:dyDescent="0.25">
      <c r="A15" s="13">
        <v>39114</v>
      </c>
      <c r="B15" s="8">
        <v>14</v>
      </c>
      <c r="C15" s="9">
        <v>1380</v>
      </c>
      <c r="D15" s="9">
        <v>928</v>
      </c>
    </row>
    <row r="16" spans="1:4" x14ac:dyDescent="0.25">
      <c r="A16" s="13">
        <v>39142</v>
      </c>
      <c r="B16" s="8">
        <v>15</v>
      </c>
      <c r="C16" s="9">
        <v>1406</v>
      </c>
      <c r="D16" s="9">
        <v>1442</v>
      </c>
    </row>
    <row r="17" spans="1:4" x14ac:dyDescent="0.25">
      <c r="A17" s="13">
        <v>39173</v>
      </c>
      <c r="B17" s="8">
        <v>16</v>
      </c>
      <c r="C17" s="9">
        <v>1439</v>
      </c>
      <c r="D17" s="9">
        <v>1371</v>
      </c>
    </row>
    <row r="18" spans="1:4" x14ac:dyDescent="0.25">
      <c r="A18" s="13">
        <v>39203</v>
      </c>
      <c r="B18" s="8">
        <v>17</v>
      </c>
      <c r="C18" s="9">
        <v>1474</v>
      </c>
      <c r="D18" s="9">
        <v>1536</v>
      </c>
    </row>
    <row r="19" spans="1:4" x14ac:dyDescent="0.25">
      <c r="A19" s="13">
        <v>39234</v>
      </c>
      <c r="B19" s="8">
        <v>18</v>
      </c>
      <c r="C19" s="9">
        <v>1499</v>
      </c>
      <c r="D19" s="9">
        <v>2004</v>
      </c>
    </row>
    <row r="20" spans="1:4" x14ac:dyDescent="0.25">
      <c r="A20" s="13">
        <v>39264</v>
      </c>
      <c r="B20" s="8">
        <v>19</v>
      </c>
      <c r="C20" s="9">
        <v>1528</v>
      </c>
      <c r="D20" s="9">
        <v>1854</v>
      </c>
    </row>
    <row r="21" spans="1:4" x14ac:dyDescent="0.25">
      <c r="A21" s="13">
        <v>39295</v>
      </c>
      <c r="B21" s="8">
        <v>20</v>
      </c>
      <c r="C21" s="9">
        <v>1541</v>
      </c>
      <c r="D21" s="9">
        <v>1951</v>
      </c>
    </row>
    <row r="22" spans="1:4" x14ac:dyDescent="0.25">
      <c r="A22" s="13">
        <v>39326</v>
      </c>
      <c r="B22" s="8">
        <v>21</v>
      </c>
      <c r="C22" s="9">
        <v>1570</v>
      </c>
      <c r="D22" s="9">
        <v>1516</v>
      </c>
    </row>
    <row r="23" spans="1:4" x14ac:dyDescent="0.25">
      <c r="A23" s="13">
        <v>39356</v>
      </c>
      <c r="B23" s="8">
        <v>22</v>
      </c>
      <c r="C23" s="9">
        <v>1608</v>
      </c>
      <c r="D23" s="9">
        <v>1642</v>
      </c>
    </row>
    <row r="24" spans="1:4" x14ac:dyDescent="0.25">
      <c r="A24" s="13">
        <v>39387</v>
      </c>
      <c r="B24" s="8">
        <v>23</v>
      </c>
      <c r="C24" s="9">
        <v>1632</v>
      </c>
      <c r="D24" s="9">
        <v>1166</v>
      </c>
    </row>
    <row r="25" spans="1:4" x14ac:dyDescent="0.25">
      <c r="A25" s="13">
        <v>39417</v>
      </c>
      <c r="B25" s="8">
        <v>24</v>
      </c>
      <c r="C25" s="9">
        <v>1661</v>
      </c>
      <c r="D25" s="9">
        <v>1106</v>
      </c>
    </row>
    <row r="26" spans="1:4" x14ac:dyDescent="0.25">
      <c r="A26" s="13">
        <v>39448</v>
      </c>
      <c r="B26" s="8">
        <v>25</v>
      </c>
      <c r="C26" s="9">
        <v>1701</v>
      </c>
      <c r="D26" s="9">
        <v>1189</v>
      </c>
    </row>
    <row r="27" spans="1:4" x14ac:dyDescent="0.25">
      <c r="A27" s="13">
        <v>39479</v>
      </c>
      <c r="B27" s="8">
        <v>26</v>
      </c>
      <c r="C27" s="9">
        <v>1732</v>
      </c>
      <c r="D27" s="9">
        <v>1209</v>
      </c>
    </row>
    <row r="28" spans="1:4" x14ac:dyDescent="0.25">
      <c r="A28" s="13">
        <v>39508</v>
      </c>
      <c r="B28" s="8">
        <v>27</v>
      </c>
      <c r="C28" s="9">
        <v>1758</v>
      </c>
      <c r="D28" s="9">
        <v>1754</v>
      </c>
    </row>
    <row r="29" spans="1:4" x14ac:dyDescent="0.25">
      <c r="A29" s="13">
        <v>39539</v>
      </c>
      <c r="B29" s="8">
        <v>28</v>
      </c>
      <c r="C29" s="9">
        <v>1774</v>
      </c>
      <c r="D29" s="9">
        <v>1843</v>
      </c>
    </row>
    <row r="30" spans="1:4" x14ac:dyDescent="0.25">
      <c r="A30" s="13">
        <v>39569</v>
      </c>
      <c r="B30" s="8">
        <v>29</v>
      </c>
      <c r="C30" s="9">
        <v>1808</v>
      </c>
      <c r="D30" s="9">
        <v>1769</v>
      </c>
    </row>
    <row r="31" spans="1:4" x14ac:dyDescent="0.25">
      <c r="A31" s="13">
        <v>39600</v>
      </c>
      <c r="B31" s="8">
        <v>30</v>
      </c>
      <c r="C31" s="9">
        <v>1827</v>
      </c>
      <c r="D31" s="9">
        <v>2207</v>
      </c>
    </row>
    <row r="32" spans="1:4" x14ac:dyDescent="0.25">
      <c r="A32" s="13">
        <v>39630</v>
      </c>
      <c r="B32" s="8">
        <v>31</v>
      </c>
      <c r="C32" s="9">
        <v>1844</v>
      </c>
      <c r="D32" s="9">
        <v>2471</v>
      </c>
    </row>
    <row r="33" spans="1:4" x14ac:dyDescent="0.25">
      <c r="A33" s="13">
        <v>39661</v>
      </c>
      <c r="B33" s="8">
        <v>32</v>
      </c>
      <c r="C33" s="9">
        <v>1871</v>
      </c>
      <c r="D33" s="9">
        <v>2288</v>
      </c>
    </row>
    <row r="34" spans="1:4" x14ac:dyDescent="0.25">
      <c r="A34" s="13">
        <v>39692</v>
      </c>
      <c r="B34" s="8">
        <v>33</v>
      </c>
      <c r="C34" s="9">
        <v>1898</v>
      </c>
      <c r="D34" s="9">
        <v>1867</v>
      </c>
    </row>
    <row r="35" spans="1:4" x14ac:dyDescent="0.25">
      <c r="A35" s="13">
        <v>39722</v>
      </c>
      <c r="B35" s="8">
        <v>34</v>
      </c>
      <c r="C35" s="9">
        <v>1908</v>
      </c>
      <c r="D35" s="9">
        <v>1980</v>
      </c>
    </row>
    <row r="36" spans="1:4" x14ac:dyDescent="0.25">
      <c r="A36" s="13">
        <v>39753</v>
      </c>
      <c r="B36" s="8">
        <v>35</v>
      </c>
      <c r="C36" s="9">
        <v>1934</v>
      </c>
      <c r="D36" s="9">
        <v>1418</v>
      </c>
    </row>
    <row r="37" spans="1:4" x14ac:dyDescent="0.25">
      <c r="A37" s="13">
        <v>39783</v>
      </c>
      <c r="B37" s="8">
        <v>36</v>
      </c>
      <c r="C37" s="9">
        <v>1968</v>
      </c>
      <c r="D37" s="9">
        <v>1333</v>
      </c>
    </row>
    <row r="38" spans="1:4" x14ac:dyDescent="0.25">
      <c r="A38" s="13">
        <v>39814</v>
      </c>
      <c r="B38" s="8">
        <v>37</v>
      </c>
      <c r="C38" s="9">
        <v>1986</v>
      </c>
      <c r="D38" s="9">
        <v>1333</v>
      </c>
    </row>
    <row r="39" spans="1:4" x14ac:dyDescent="0.25">
      <c r="A39" s="13">
        <v>39845</v>
      </c>
      <c r="B39" s="8">
        <v>38</v>
      </c>
      <c r="C39" s="9">
        <v>2021</v>
      </c>
      <c r="D39" s="9">
        <v>1370</v>
      </c>
    </row>
    <row r="40" spans="1:4" x14ac:dyDescent="0.25">
      <c r="A40" s="13">
        <v>39873</v>
      </c>
      <c r="B40" s="8">
        <v>39</v>
      </c>
      <c r="C40" s="9">
        <v>2056</v>
      </c>
      <c r="D40" s="9">
        <v>2142</v>
      </c>
    </row>
    <row r="41" spans="1:4" x14ac:dyDescent="0.25">
      <c r="A41" s="13">
        <v>39904</v>
      </c>
      <c r="B41" s="8">
        <v>40</v>
      </c>
      <c r="C41" s="9">
        <v>2095</v>
      </c>
      <c r="D41" s="9">
        <v>2138</v>
      </c>
    </row>
    <row r="42" spans="1:4" x14ac:dyDescent="0.25">
      <c r="A42" s="13">
        <v>39934</v>
      </c>
      <c r="B42" s="8">
        <v>41</v>
      </c>
      <c r="C42" s="9">
        <v>2122</v>
      </c>
      <c r="D42" s="9">
        <v>2078</v>
      </c>
    </row>
    <row r="43" spans="1:4" x14ac:dyDescent="0.25">
      <c r="A43" s="13">
        <v>39965</v>
      </c>
      <c r="B43" s="8">
        <v>42</v>
      </c>
      <c r="C43" s="9">
        <v>2143</v>
      </c>
      <c r="D43" s="9">
        <v>2960</v>
      </c>
    </row>
    <row r="44" spans="1:4" x14ac:dyDescent="0.25">
      <c r="A44" s="13">
        <v>39995</v>
      </c>
      <c r="B44" s="8">
        <v>43</v>
      </c>
      <c r="C44" s="9">
        <v>2168</v>
      </c>
      <c r="D44" s="9">
        <v>2616</v>
      </c>
    </row>
    <row r="45" spans="1:4" x14ac:dyDescent="0.25">
      <c r="A45" s="13">
        <v>40026</v>
      </c>
      <c r="B45" s="8">
        <v>44</v>
      </c>
      <c r="C45" s="9">
        <v>2207</v>
      </c>
      <c r="D45" s="9">
        <v>2861</v>
      </c>
    </row>
    <row r="46" spans="1:4" x14ac:dyDescent="0.25">
      <c r="A46" s="13">
        <v>40057</v>
      </c>
      <c r="B46" s="8">
        <v>45</v>
      </c>
      <c r="C46" s="9">
        <v>2226</v>
      </c>
      <c r="D46" s="9">
        <v>2237</v>
      </c>
    </row>
    <row r="47" spans="1:4" x14ac:dyDescent="0.25">
      <c r="A47" s="13">
        <v>40087</v>
      </c>
      <c r="B47" s="8">
        <v>46</v>
      </c>
      <c r="C47" s="9">
        <v>2255</v>
      </c>
      <c r="D47" s="9">
        <v>2225</v>
      </c>
    </row>
    <row r="48" spans="1:4" x14ac:dyDescent="0.25">
      <c r="A48" s="13">
        <v>40118</v>
      </c>
      <c r="B48" s="8">
        <v>47</v>
      </c>
      <c r="C48" s="9">
        <v>2283</v>
      </c>
      <c r="D48" s="9">
        <v>1590</v>
      </c>
    </row>
    <row r="49" spans="1:4" x14ac:dyDescent="0.25">
      <c r="A49" s="13">
        <v>40148</v>
      </c>
      <c r="B49" s="8">
        <v>48</v>
      </c>
      <c r="C49" s="9">
        <v>2309</v>
      </c>
      <c r="D49" s="9">
        <v>1659</v>
      </c>
    </row>
    <row r="50" spans="1:4" x14ac:dyDescent="0.25">
      <c r="A50" s="13">
        <v>40179</v>
      </c>
      <c r="B50" s="8">
        <v>49</v>
      </c>
      <c r="C50" s="9">
        <v>2338</v>
      </c>
      <c r="D50" s="9">
        <v>1613</v>
      </c>
    </row>
    <row r="51" spans="1:4" x14ac:dyDescent="0.25">
      <c r="A51" s="13">
        <v>40210</v>
      </c>
      <c r="B51" s="8">
        <v>50</v>
      </c>
      <c r="C51" s="9">
        <v>2382</v>
      </c>
      <c r="D51" s="9">
        <v>1605</v>
      </c>
    </row>
    <row r="52" spans="1:4" x14ac:dyDescent="0.25">
      <c r="A52" s="13">
        <v>40238</v>
      </c>
      <c r="B52" s="8">
        <v>51</v>
      </c>
      <c r="C52" s="9">
        <v>2400</v>
      </c>
      <c r="D52" s="9">
        <v>2349</v>
      </c>
    </row>
    <row r="53" spans="1:4" x14ac:dyDescent="0.25">
      <c r="A53" s="13">
        <v>40269</v>
      </c>
      <c r="B53" s="8">
        <v>52</v>
      </c>
      <c r="C53" s="9">
        <v>2452</v>
      </c>
      <c r="D53" s="9">
        <v>2468</v>
      </c>
    </row>
    <row r="54" spans="1:4" x14ac:dyDescent="0.25">
      <c r="A54" s="13">
        <v>40299</v>
      </c>
      <c r="B54" s="8">
        <v>53</v>
      </c>
      <c r="C54" s="9">
        <v>2486</v>
      </c>
      <c r="D54" s="9">
        <v>2532</v>
      </c>
    </row>
    <row r="55" spans="1:4" x14ac:dyDescent="0.25">
      <c r="A55" s="13">
        <v>40330</v>
      </c>
      <c r="B55" s="8">
        <v>54</v>
      </c>
      <c r="C55" s="9">
        <v>2522</v>
      </c>
      <c r="D55" s="9">
        <v>3127</v>
      </c>
    </row>
    <row r="56" spans="1:4" x14ac:dyDescent="0.25">
      <c r="A56" s="13">
        <v>40360</v>
      </c>
      <c r="B56" s="8">
        <v>55</v>
      </c>
      <c r="C56" s="9">
        <v>2547</v>
      </c>
      <c r="D56" s="9">
        <v>3288</v>
      </c>
    </row>
    <row r="57" spans="1:4" x14ac:dyDescent="0.25">
      <c r="A57" s="13">
        <v>40391</v>
      </c>
      <c r="B57" s="8">
        <v>56</v>
      </c>
      <c r="C57" s="9">
        <v>2570</v>
      </c>
      <c r="D57" s="9">
        <v>3285</v>
      </c>
    </row>
    <row r="58" spans="1:4" x14ac:dyDescent="0.25">
      <c r="A58" s="13">
        <v>40422</v>
      </c>
      <c r="B58" s="8">
        <v>57</v>
      </c>
      <c r="C58" s="9">
        <v>2611</v>
      </c>
      <c r="D58" s="9">
        <v>2485</v>
      </c>
    </row>
    <row r="59" spans="1:4" x14ac:dyDescent="0.25">
      <c r="A59" s="13">
        <v>40452</v>
      </c>
      <c r="B59" s="8">
        <v>58</v>
      </c>
      <c r="C59" s="9">
        <v>2628</v>
      </c>
      <c r="D59" s="9">
        <v>2723</v>
      </c>
    </row>
    <row r="60" spans="1:4" x14ac:dyDescent="0.25">
      <c r="A60" s="13">
        <v>40483</v>
      </c>
      <c r="B60" s="8">
        <v>59</v>
      </c>
      <c r="C60" s="9">
        <v>2662</v>
      </c>
      <c r="D60" s="9">
        <v>1835</v>
      </c>
    </row>
    <row r="61" spans="1:4" x14ac:dyDescent="0.25">
      <c r="A61" s="13">
        <v>40513</v>
      </c>
      <c r="B61" s="8">
        <v>60</v>
      </c>
      <c r="C61" s="9">
        <v>2696</v>
      </c>
      <c r="D61" s="9">
        <v>1894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showGridLines="0" workbookViewId="0"/>
  </sheetViews>
  <sheetFormatPr defaultColWidth="12.7109375" defaultRowHeight="15" x14ac:dyDescent="0.25"/>
  <cols>
    <col min="1" max="1" width="14.140625" style="1" bestFit="1" customWidth="1"/>
    <col min="2" max="2" width="23" style="1" bestFit="1" customWidth="1"/>
    <col min="3" max="16384" width="12.7109375" style="1"/>
  </cols>
  <sheetData>
    <row r="1" spans="1:2" s="4" customFormat="1" ht="18" x14ac:dyDescent="0.25">
      <c r="A1" s="15" t="s">
        <v>41</v>
      </c>
      <c r="B1" s="18" t="s">
        <v>42</v>
      </c>
    </row>
    <row r="2" spans="1:2" s="4" customFormat="1" x14ac:dyDescent="0.25">
      <c r="A2" s="16" t="s">
        <v>43</v>
      </c>
      <c r="B2" s="18" t="s">
        <v>44</v>
      </c>
    </row>
    <row r="3" spans="1:2" s="4" customFormat="1" x14ac:dyDescent="0.25">
      <c r="A3" s="16" t="s">
        <v>45</v>
      </c>
      <c r="B3" s="18" t="s">
        <v>75</v>
      </c>
    </row>
    <row r="4" spans="1:2" s="4" customFormat="1" x14ac:dyDescent="0.25">
      <c r="A4" s="16" t="s">
        <v>46</v>
      </c>
      <c r="B4" s="18" t="s">
        <v>76</v>
      </c>
    </row>
    <row r="5" spans="1:2" s="5" customFormat="1" x14ac:dyDescent="0.25">
      <c r="A5" s="17" t="s">
        <v>47</v>
      </c>
      <c r="B5" s="19" t="s">
        <v>48</v>
      </c>
    </row>
    <row r="7" spans="1:2" ht="12.75" customHeight="1" x14ac:dyDescent="0.25"/>
    <row r="8" spans="1:2" ht="12.75" customHeight="1" x14ac:dyDescent="0.25"/>
    <row r="9" spans="1:2" ht="12.75" customHeight="1" x14ac:dyDescent="0.25"/>
    <row r="10" spans="1:2" ht="12.75" customHeight="1" x14ac:dyDescent="0.25"/>
    <row r="11" spans="1:2" ht="12.75" customHeight="1" x14ac:dyDescent="0.25"/>
    <row r="12" spans="1:2" ht="12.75" customHeight="1" x14ac:dyDescent="0.25"/>
    <row r="13" spans="1:2" ht="12.75" customHeight="1" x14ac:dyDescent="0.25"/>
    <row r="14" spans="1:2" ht="12.75" customHeight="1" x14ac:dyDescent="0.25"/>
    <row r="15" spans="1:2" ht="12.75" customHeight="1" x14ac:dyDescent="0.25"/>
    <row r="16" spans="1:2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</sheetData>
  <phoneticPr fontId="1" type="noConversion"/>
  <pageMargins left="0.75" right="0.75" top="1" bottom="1" header="0.5" footer="0.5"/>
  <pageSetup orientation="portrait" blackAndWhite="1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54"/>
  <sheetViews>
    <sheetView showGridLines="0" workbookViewId="0"/>
  </sheetViews>
  <sheetFormatPr defaultColWidth="12.7109375" defaultRowHeight="15" x14ac:dyDescent="0.25"/>
  <cols>
    <col min="1" max="1" width="18.5703125" style="1" bestFit="1" customWidth="1"/>
    <col min="2" max="2" width="18.140625" style="1" bestFit="1" customWidth="1"/>
    <col min="3" max="4" width="12.7109375" style="1" customWidth="1"/>
    <col min="5" max="16384" width="12.7109375" style="1"/>
  </cols>
  <sheetData>
    <row r="1" spans="1:2" s="4" customFormat="1" ht="18" x14ac:dyDescent="0.25">
      <c r="A1" s="15" t="s">
        <v>41</v>
      </c>
      <c r="B1" s="18" t="s">
        <v>42</v>
      </c>
    </row>
    <row r="2" spans="1:2" s="4" customFormat="1" x14ac:dyDescent="0.25">
      <c r="A2" s="16" t="s">
        <v>43</v>
      </c>
      <c r="B2" s="18" t="s">
        <v>49</v>
      </c>
    </row>
    <row r="3" spans="1:2" s="4" customFormat="1" x14ac:dyDescent="0.25">
      <c r="A3" s="16" t="s">
        <v>45</v>
      </c>
      <c r="B3" s="18" t="s">
        <v>75</v>
      </c>
    </row>
    <row r="4" spans="1:2" s="4" customFormat="1" x14ac:dyDescent="0.25">
      <c r="A4" s="16" t="s">
        <v>46</v>
      </c>
      <c r="B4" s="18" t="s">
        <v>76</v>
      </c>
    </row>
    <row r="5" spans="1:2" s="5" customFormat="1" x14ac:dyDescent="0.25">
      <c r="A5" s="17" t="s">
        <v>47</v>
      </c>
      <c r="B5" s="19" t="s">
        <v>48</v>
      </c>
    </row>
    <row r="7" spans="1:2" ht="12.75" customHeight="1" x14ac:dyDescent="0.25">
      <c r="A7" s="24"/>
      <c r="B7" s="21"/>
    </row>
    <row r="8" spans="1:2" ht="12.75" customHeight="1" thickBot="1" x14ac:dyDescent="0.3">
      <c r="A8" s="25" t="s">
        <v>50</v>
      </c>
      <c r="B8" s="22"/>
    </row>
    <row r="9" spans="1:2" ht="12.75" customHeight="1" thickTop="1" x14ac:dyDescent="0.25">
      <c r="A9" s="23" t="s">
        <v>53</v>
      </c>
      <c r="B9" s="20">
        <v>3</v>
      </c>
    </row>
    <row r="10" spans="1:2" ht="12.75" customHeight="1" x14ac:dyDescent="0.25"/>
    <row r="11" spans="1:2" ht="12.75" customHeight="1" x14ac:dyDescent="0.25">
      <c r="A11" s="24"/>
      <c r="B11" s="21"/>
    </row>
    <row r="12" spans="1:2" ht="12.75" customHeight="1" thickBot="1" x14ac:dyDescent="0.3">
      <c r="A12" s="25" t="s">
        <v>51</v>
      </c>
      <c r="B12" s="22"/>
    </row>
    <row r="13" spans="1:2" ht="12.75" customHeight="1" thickTop="1" x14ac:dyDescent="0.25">
      <c r="A13" s="23" t="s">
        <v>54</v>
      </c>
      <c r="B13" s="26">
        <f>_xll.StatMeanAbs(D86:D142)</f>
        <v>57.263157894736835</v>
      </c>
    </row>
    <row r="14" spans="1:2" ht="12.75" customHeight="1" x14ac:dyDescent="0.25">
      <c r="A14" s="23" t="s">
        <v>55</v>
      </c>
      <c r="B14" s="26">
        <f>SQRT(SUMSQ(D86:D142)/_xll.StatCount(D86:D142))</f>
        <v>58.158116129521353</v>
      </c>
    </row>
    <row r="15" spans="1:2" ht="12.75" customHeight="1" x14ac:dyDescent="0.25">
      <c r="A15" s="23" t="s">
        <v>56</v>
      </c>
      <c r="B15" s="29">
        <f>_xll.StatPairMeanAbsQuotient(D86:D142,B86:B142)</f>
        <v>3.2380984883866565E-2</v>
      </c>
    </row>
    <row r="16" spans="1:2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spans="1:4" ht="12.75" customHeight="1" x14ac:dyDescent="0.25">
      <c r="A81" s="24"/>
      <c r="B81" s="21"/>
      <c r="C81" s="21"/>
      <c r="D81" s="21"/>
    </row>
    <row r="82" spans="1:4" ht="12.75" customHeight="1" thickBot="1" x14ac:dyDescent="0.3">
      <c r="A82" s="25" t="s">
        <v>52</v>
      </c>
      <c r="B82" s="22" t="s">
        <v>1</v>
      </c>
      <c r="C82" s="22" t="s">
        <v>49</v>
      </c>
      <c r="D82" s="22" t="s">
        <v>57</v>
      </c>
    </row>
    <row r="83" spans="1:4" ht="12.75" customHeight="1" thickTop="1" x14ac:dyDescent="0.25">
      <c r="A83" s="23" t="s">
        <v>77</v>
      </c>
      <c r="B83" s="26">
        <f xml:space="preserve"> 1000</f>
        <v>1000</v>
      </c>
      <c r="C83" s="26"/>
      <c r="D83" s="26"/>
    </row>
    <row r="84" spans="1:4" ht="12.75" customHeight="1" x14ac:dyDescent="0.25">
      <c r="A84" s="23" t="s">
        <v>78</v>
      </c>
      <c r="B84" s="26">
        <f xml:space="preserve"> 1025</f>
        <v>1025</v>
      </c>
      <c r="C84" s="26"/>
      <c r="D84" s="26"/>
    </row>
    <row r="85" spans="1:4" ht="12.75" customHeight="1" x14ac:dyDescent="0.25">
      <c r="A85" s="23" t="s">
        <v>79</v>
      </c>
      <c r="B85" s="26">
        <f xml:space="preserve"> 1066</f>
        <v>1066</v>
      </c>
      <c r="C85" s="26"/>
      <c r="D85" s="26"/>
    </row>
    <row r="86" spans="1:4" ht="12.75" customHeight="1" x14ac:dyDescent="0.25">
      <c r="A86" s="23" t="s">
        <v>80</v>
      </c>
      <c r="B86" s="26">
        <f xml:space="preserve"> 1107</f>
        <v>1107</v>
      </c>
      <c r="C86" s="26">
        <f>_xll.StatMean(B83:B85)</f>
        <v>1030.3333333333333</v>
      </c>
      <c r="D86" s="26">
        <f>B86-C86</f>
        <v>76.666666666666742</v>
      </c>
    </row>
    <row r="87" spans="1:4" ht="12.75" customHeight="1" x14ac:dyDescent="0.25">
      <c r="A87" s="23" t="s">
        <v>81</v>
      </c>
      <c r="B87" s="26">
        <f xml:space="preserve"> 1148</f>
        <v>1148</v>
      </c>
      <c r="C87" s="26">
        <f>_xll.StatMean(B84:B86)</f>
        <v>1066</v>
      </c>
      <c r="D87" s="26">
        <f t="shared" ref="D87:D142" si="0">B87-C87</f>
        <v>82</v>
      </c>
    </row>
    <row r="88" spans="1:4" ht="12.75" customHeight="1" x14ac:dyDescent="0.25">
      <c r="A88" s="23" t="s">
        <v>82</v>
      </c>
      <c r="B88" s="26">
        <f xml:space="preserve"> 1172</f>
        <v>1172</v>
      </c>
      <c r="C88" s="26">
        <f>_xll.StatMean(B85:B87)</f>
        <v>1107</v>
      </c>
      <c r="D88" s="26">
        <f t="shared" si="0"/>
        <v>65</v>
      </c>
    </row>
    <row r="89" spans="1:4" ht="12.75" customHeight="1" x14ac:dyDescent="0.25">
      <c r="A89" s="23" t="s">
        <v>83</v>
      </c>
      <c r="B89" s="26">
        <f xml:space="preserve"> 1200</f>
        <v>1200</v>
      </c>
      <c r="C89" s="26">
        <f>_xll.StatMean(B86:B88)</f>
        <v>1142.3333333333333</v>
      </c>
      <c r="D89" s="26">
        <f t="shared" si="0"/>
        <v>57.666666666666742</v>
      </c>
    </row>
    <row r="90" spans="1:4" ht="12.75" customHeight="1" x14ac:dyDescent="0.25">
      <c r="A90" s="23" t="s">
        <v>84</v>
      </c>
      <c r="B90" s="26">
        <f xml:space="preserve"> 1229</f>
        <v>1229</v>
      </c>
      <c r="C90" s="26">
        <f>_xll.StatMean(B87:B89)</f>
        <v>1173.3333333333333</v>
      </c>
      <c r="D90" s="26">
        <f t="shared" si="0"/>
        <v>55.666666666666742</v>
      </c>
    </row>
    <row r="91" spans="1:4" ht="12.75" customHeight="1" x14ac:dyDescent="0.25">
      <c r="A91" s="23" t="s">
        <v>85</v>
      </c>
      <c r="B91" s="26">
        <f xml:space="preserve"> 1251</f>
        <v>1251</v>
      </c>
      <c r="C91" s="26">
        <f>_xll.StatMean(B88:B90)</f>
        <v>1200.3333333333333</v>
      </c>
      <c r="D91" s="26">
        <f t="shared" si="0"/>
        <v>50.666666666666742</v>
      </c>
    </row>
    <row r="92" spans="1:4" ht="12.75" customHeight="1" x14ac:dyDescent="0.25">
      <c r="A92" s="23" t="s">
        <v>86</v>
      </c>
      <c r="B92" s="26">
        <f xml:space="preserve"> 1279</f>
        <v>1279</v>
      </c>
      <c r="C92" s="26">
        <f>_xll.StatMean(B89:B91)</f>
        <v>1226.6666666666667</v>
      </c>
      <c r="D92" s="26">
        <f t="shared" si="0"/>
        <v>52.333333333333258</v>
      </c>
    </row>
    <row r="93" spans="1:4" ht="12.75" customHeight="1" x14ac:dyDescent="0.25">
      <c r="A93" s="23" t="s">
        <v>87</v>
      </c>
      <c r="B93" s="26">
        <f xml:space="preserve"> 1317</f>
        <v>1317</v>
      </c>
      <c r="C93" s="26">
        <f>_xll.StatMean(B90:B92)</f>
        <v>1253</v>
      </c>
      <c r="D93" s="26">
        <f t="shared" si="0"/>
        <v>64</v>
      </c>
    </row>
    <row r="94" spans="1:4" ht="12.75" customHeight="1" x14ac:dyDescent="0.25">
      <c r="A94" s="23" t="s">
        <v>88</v>
      </c>
      <c r="B94" s="26">
        <f xml:space="preserve"> 1336</f>
        <v>1336</v>
      </c>
      <c r="C94" s="26">
        <f>_xll.StatMean(B91:B93)</f>
        <v>1282.3333333333333</v>
      </c>
      <c r="D94" s="26">
        <f t="shared" si="0"/>
        <v>53.666666666666742</v>
      </c>
    </row>
    <row r="95" spans="1:4" ht="12.75" customHeight="1" x14ac:dyDescent="0.25">
      <c r="A95" s="23" t="s">
        <v>89</v>
      </c>
      <c r="B95" s="26">
        <f xml:space="preserve"> 1368</f>
        <v>1368</v>
      </c>
      <c r="C95" s="26">
        <f>_xll.StatMean(B92:B94)</f>
        <v>1310.6666666666667</v>
      </c>
      <c r="D95" s="26">
        <f t="shared" si="0"/>
        <v>57.333333333333258</v>
      </c>
    </row>
    <row r="96" spans="1:4" ht="12.75" customHeight="1" x14ac:dyDescent="0.25">
      <c r="A96" s="23" t="s">
        <v>90</v>
      </c>
      <c r="B96" s="26">
        <f xml:space="preserve"> 1380</f>
        <v>1380</v>
      </c>
      <c r="C96" s="26">
        <f>_xll.StatMean(B93:B95)</f>
        <v>1340.3333333333333</v>
      </c>
      <c r="D96" s="26">
        <f t="shared" si="0"/>
        <v>39.666666666666742</v>
      </c>
    </row>
    <row r="97" spans="1:4" ht="12.75" customHeight="1" x14ac:dyDescent="0.25">
      <c r="A97" s="23" t="s">
        <v>91</v>
      </c>
      <c r="B97" s="26">
        <f xml:space="preserve"> 1406</f>
        <v>1406</v>
      </c>
      <c r="C97" s="26">
        <f>_xll.StatMean(B94:B96)</f>
        <v>1361.3333333333333</v>
      </c>
      <c r="D97" s="26">
        <f t="shared" si="0"/>
        <v>44.666666666666742</v>
      </c>
    </row>
    <row r="98" spans="1:4" ht="12.75" customHeight="1" x14ac:dyDescent="0.25">
      <c r="A98" s="23" t="s">
        <v>92</v>
      </c>
      <c r="B98" s="26">
        <f xml:space="preserve"> 1439</f>
        <v>1439</v>
      </c>
      <c r="C98" s="26">
        <f>_xll.StatMean(B95:B97)</f>
        <v>1384.6666666666667</v>
      </c>
      <c r="D98" s="26">
        <f t="shared" si="0"/>
        <v>54.333333333333258</v>
      </c>
    </row>
    <row r="99" spans="1:4" ht="12.75" customHeight="1" x14ac:dyDescent="0.25">
      <c r="A99" s="23" t="s">
        <v>93</v>
      </c>
      <c r="B99" s="26">
        <f xml:space="preserve"> 1474</f>
        <v>1474</v>
      </c>
      <c r="C99" s="26">
        <f>_xll.StatMean(B96:B98)</f>
        <v>1408.3333333333333</v>
      </c>
      <c r="D99" s="26">
        <f t="shared" si="0"/>
        <v>65.666666666666742</v>
      </c>
    </row>
    <row r="100" spans="1:4" ht="12.75" customHeight="1" x14ac:dyDescent="0.25">
      <c r="A100" s="23" t="s">
        <v>94</v>
      </c>
      <c r="B100" s="26">
        <f xml:space="preserve"> 1499</f>
        <v>1499</v>
      </c>
      <c r="C100" s="26">
        <f>_xll.StatMean(B97:B99)</f>
        <v>1439.6666666666667</v>
      </c>
      <c r="D100" s="26">
        <f t="shared" si="0"/>
        <v>59.333333333333258</v>
      </c>
    </row>
    <row r="101" spans="1:4" ht="12.75" customHeight="1" x14ac:dyDescent="0.25">
      <c r="A101" s="23" t="s">
        <v>95</v>
      </c>
      <c r="B101" s="26">
        <f xml:space="preserve"> 1528</f>
        <v>1528</v>
      </c>
      <c r="C101" s="26">
        <f>_xll.StatMean(B98:B100)</f>
        <v>1470.6666666666667</v>
      </c>
      <c r="D101" s="26">
        <f t="shared" si="0"/>
        <v>57.333333333333258</v>
      </c>
    </row>
    <row r="102" spans="1:4" ht="12.75" customHeight="1" x14ac:dyDescent="0.25">
      <c r="A102" s="23" t="s">
        <v>96</v>
      </c>
      <c r="B102" s="26">
        <f xml:space="preserve"> 1541</f>
        <v>1541</v>
      </c>
      <c r="C102" s="26">
        <f>_xll.StatMean(B99:B101)</f>
        <v>1500.3333333333333</v>
      </c>
      <c r="D102" s="26">
        <f t="shared" si="0"/>
        <v>40.666666666666742</v>
      </c>
    </row>
    <row r="103" spans="1:4" ht="12.75" customHeight="1" x14ac:dyDescent="0.25">
      <c r="A103" s="23" t="s">
        <v>97</v>
      </c>
      <c r="B103" s="26">
        <f xml:space="preserve"> 1570</f>
        <v>1570</v>
      </c>
      <c r="C103" s="26">
        <f>_xll.StatMean(B100:B102)</f>
        <v>1522.6666666666667</v>
      </c>
      <c r="D103" s="26">
        <f t="shared" si="0"/>
        <v>47.333333333333258</v>
      </c>
    </row>
    <row r="104" spans="1:4" ht="12.75" customHeight="1" x14ac:dyDescent="0.25">
      <c r="A104" s="23" t="s">
        <v>98</v>
      </c>
      <c r="B104" s="26">
        <f xml:space="preserve"> 1608</f>
        <v>1608</v>
      </c>
      <c r="C104" s="26">
        <f>_xll.StatMean(B101:B103)</f>
        <v>1546.3333333333333</v>
      </c>
      <c r="D104" s="26">
        <f t="shared" si="0"/>
        <v>61.666666666666742</v>
      </c>
    </row>
    <row r="105" spans="1:4" ht="12.75" customHeight="1" x14ac:dyDescent="0.25">
      <c r="A105" s="23" t="s">
        <v>99</v>
      </c>
      <c r="B105" s="26">
        <f xml:space="preserve"> 1632</f>
        <v>1632</v>
      </c>
      <c r="C105" s="26">
        <f>_xll.StatMean(B102:B104)</f>
        <v>1573</v>
      </c>
      <c r="D105" s="26">
        <f t="shared" si="0"/>
        <v>59</v>
      </c>
    </row>
    <row r="106" spans="1:4" ht="12.75" customHeight="1" x14ac:dyDescent="0.25">
      <c r="A106" s="23" t="s">
        <v>100</v>
      </c>
      <c r="B106" s="26">
        <f xml:space="preserve"> 1661</f>
        <v>1661</v>
      </c>
      <c r="C106" s="26">
        <f>_xll.StatMean(B103:B105)</f>
        <v>1603.3333333333333</v>
      </c>
      <c r="D106" s="26">
        <f t="shared" si="0"/>
        <v>57.666666666666742</v>
      </c>
    </row>
    <row r="107" spans="1:4" ht="12.75" customHeight="1" x14ac:dyDescent="0.25">
      <c r="A107" s="23" t="s">
        <v>101</v>
      </c>
      <c r="B107" s="26">
        <f xml:space="preserve"> 1701</f>
        <v>1701</v>
      </c>
      <c r="C107" s="26">
        <f>_xll.StatMean(B104:B106)</f>
        <v>1633.6666666666667</v>
      </c>
      <c r="D107" s="26">
        <f t="shared" si="0"/>
        <v>67.333333333333258</v>
      </c>
    </row>
    <row r="108" spans="1:4" ht="12.75" customHeight="1" x14ac:dyDescent="0.25">
      <c r="A108" s="23" t="s">
        <v>102</v>
      </c>
      <c r="B108" s="26">
        <f xml:space="preserve"> 1732</f>
        <v>1732</v>
      </c>
      <c r="C108" s="26">
        <f>_xll.StatMean(B105:B107)</f>
        <v>1664.6666666666667</v>
      </c>
      <c r="D108" s="26">
        <f t="shared" si="0"/>
        <v>67.333333333333258</v>
      </c>
    </row>
    <row r="109" spans="1:4" ht="12.75" customHeight="1" x14ac:dyDescent="0.25">
      <c r="A109" s="23" t="s">
        <v>103</v>
      </c>
      <c r="B109" s="26">
        <f xml:space="preserve"> 1758</f>
        <v>1758</v>
      </c>
      <c r="C109" s="26">
        <f>_xll.StatMean(B106:B108)</f>
        <v>1698</v>
      </c>
      <c r="D109" s="26">
        <f t="shared" si="0"/>
        <v>60</v>
      </c>
    </row>
    <row r="110" spans="1:4" ht="12.75" customHeight="1" x14ac:dyDescent="0.25">
      <c r="A110" s="23" t="s">
        <v>104</v>
      </c>
      <c r="B110" s="26">
        <f xml:space="preserve"> 1774</f>
        <v>1774</v>
      </c>
      <c r="C110" s="26">
        <f>_xll.StatMean(B107:B109)</f>
        <v>1730.3333333333333</v>
      </c>
      <c r="D110" s="26">
        <f t="shared" si="0"/>
        <v>43.666666666666742</v>
      </c>
    </row>
    <row r="111" spans="1:4" ht="12.75" customHeight="1" x14ac:dyDescent="0.25">
      <c r="A111" s="23" t="s">
        <v>105</v>
      </c>
      <c r="B111" s="26">
        <f xml:space="preserve"> 1808</f>
        <v>1808</v>
      </c>
      <c r="C111" s="26">
        <f>_xll.StatMean(B108:B110)</f>
        <v>1754.6666666666667</v>
      </c>
      <c r="D111" s="26">
        <f t="shared" si="0"/>
        <v>53.333333333333258</v>
      </c>
    </row>
    <row r="112" spans="1:4" ht="12.75" customHeight="1" x14ac:dyDescent="0.25">
      <c r="A112" s="23" t="s">
        <v>106</v>
      </c>
      <c r="B112" s="26">
        <f xml:space="preserve"> 1827</f>
        <v>1827</v>
      </c>
      <c r="C112" s="26">
        <f>_xll.StatMean(B109:B111)</f>
        <v>1780</v>
      </c>
      <c r="D112" s="26">
        <f t="shared" si="0"/>
        <v>47</v>
      </c>
    </row>
    <row r="113" spans="1:4" ht="12.75" customHeight="1" x14ac:dyDescent="0.25">
      <c r="A113" s="23" t="s">
        <v>107</v>
      </c>
      <c r="B113" s="26">
        <f xml:space="preserve"> 1844</f>
        <v>1844</v>
      </c>
      <c r="C113" s="26">
        <f>_xll.StatMean(B110:B112)</f>
        <v>1803</v>
      </c>
      <c r="D113" s="26">
        <f t="shared" si="0"/>
        <v>41</v>
      </c>
    </row>
    <row r="114" spans="1:4" ht="12.75" customHeight="1" x14ac:dyDescent="0.25">
      <c r="A114" s="23" t="s">
        <v>108</v>
      </c>
      <c r="B114" s="26">
        <f xml:space="preserve"> 1871</f>
        <v>1871</v>
      </c>
      <c r="C114" s="26">
        <f>_xll.StatMean(B111:B113)</f>
        <v>1826.3333333333333</v>
      </c>
      <c r="D114" s="26">
        <f t="shared" si="0"/>
        <v>44.666666666666742</v>
      </c>
    </row>
    <row r="115" spans="1:4" ht="12.75" customHeight="1" x14ac:dyDescent="0.25">
      <c r="A115" s="23" t="s">
        <v>109</v>
      </c>
      <c r="B115" s="26">
        <f xml:space="preserve"> 1898</f>
        <v>1898</v>
      </c>
      <c r="C115" s="26">
        <f>_xll.StatMean(B112:B114)</f>
        <v>1847.3333333333333</v>
      </c>
      <c r="D115" s="26">
        <f t="shared" si="0"/>
        <v>50.666666666666742</v>
      </c>
    </row>
    <row r="116" spans="1:4" ht="12.75" customHeight="1" x14ac:dyDescent="0.25">
      <c r="A116" s="23" t="s">
        <v>110</v>
      </c>
      <c r="B116" s="26">
        <f xml:space="preserve"> 1908</f>
        <v>1908</v>
      </c>
      <c r="C116" s="26">
        <f>_xll.StatMean(B113:B115)</f>
        <v>1871</v>
      </c>
      <c r="D116" s="26">
        <f t="shared" si="0"/>
        <v>37</v>
      </c>
    </row>
    <row r="117" spans="1:4" ht="12.75" customHeight="1" x14ac:dyDescent="0.25">
      <c r="A117" s="23" t="s">
        <v>111</v>
      </c>
      <c r="B117" s="26">
        <f xml:space="preserve"> 1934</f>
        <v>1934</v>
      </c>
      <c r="C117" s="26">
        <f>_xll.StatMean(B114:B116)</f>
        <v>1892.3333333333333</v>
      </c>
      <c r="D117" s="26">
        <f t="shared" si="0"/>
        <v>41.666666666666742</v>
      </c>
    </row>
    <row r="118" spans="1:4" ht="12.75" customHeight="1" x14ac:dyDescent="0.25">
      <c r="A118" s="23" t="s">
        <v>112</v>
      </c>
      <c r="B118" s="26">
        <f xml:space="preserve"> 1968</f>
        <v>1968</v>
      </c>
      <c r="C118" s="26">
        <f>_xll.StatMean(B115:B117)</f>
        <v>1913.3333333333333</v>
      </c>
      <c r="D118" s="26">
        <f t="shared" si="0"/>
        <v>54.666666666666742</v>
      </c>
    </row>
    <row r="119" spans="1:4" ht="12.75" customHeight="1" x14ac:dyDescent="0.25">
      <c r="A119" s="23" t="s">
        <v>113</v>
      </c>
      <c r="B119" s="26">
        <f xml:space="preserve"> 1986</f>
        <v>1986</v>
      </c>
      <c r="C119" s="26">
        <f>_xll.StatMean(B116:B118)</f>
        <v>1936.6666666666667</v>
      </c>
      <c r="D119" s="26">
        <f t="shared" si="0"/>
        <v>49.333333333333258</v>
      </c>
    </row>
    <row r="120" spans="1:4" ht="12.75" customHeight="1" x14ac:dyDescent="0.25">
      <c r="A120" s="23" t="s">
        <v>114</v>
      </c>
      <c r="B120" s="26">
        <f xml:space="preserve"> 2021</f>
        <v>2021</v>
      </c>
      <c r="C120" s="26">
        <f>_xll.StatMean(B117:B119)</f>
        <v>1962.6666666666667</v>
      </c>
      <c r="D120" s="26">
        <f t="shared" si="0"/>
        <v>58.333333333333258</v>
      </c>
    </row>
    <row r="121" spans="1:4" ht="12.75" customHeight="1" x14ac:dyDescent="0.25">
      <c r="A121" s="23" t="s">
        <v>115</v>
      </c>
      <c r="B121" s="26">
        <f xml:space="preserve"> 2056</f>
        <v>2056</v>
      </c>
      <c r="C121" s="26">
        <f>_xll.StatMean(B118:B120)</f>
        <v>1991.6666666666667</v>
      </c>
      <c r="D121" s="26">
        <f t="shared" si="0"/>
        <v>64.333333333333258</v>
      </c>
    </row>
    <row r="122" spans="1:4" ht="12.75" customHeight="1" x14ac:dyDescent="0.25">
      <c r="A122" s="23" t="s">
        <v>116</v>
      </c>
      <c r="B122" s="26">
        <f xml:space="preserve"> 2095</f>
        <v>2095</v>
      </c>
      <c r="C122" s="26">
        <f>_xll.StatMean(B119:B121)</f>
        <v>2021</v>
      </c>
      <c r="D122" s="26">
        <f t="shared" si="0"/>
        <v>74</v>
      </c>
    </row>
    <row r="123" spans="1:4" ht="12.75" customHeight="1" x14ac:dyDescent="0.25">
      <c r="A123" s="23" t="s">
        <v>117</v>
      </c>
      <c r="B123" s="26">
        <f xml:space="preserve"> 2122</f>
        <v>2122</v>
      </c>
      <c r="C123" s="26">
        <f>_xll.StatMean(B120:B122)</f>
        <v>2057.3333333333335</v>
      </c>
      <c r="D123" s="26">
        <f t="shared" si="0"/>
        <v>64.666666666666515</v>
      </c>
    </row>
    <row r="124" spans="1:4" ht="12.75" customHeight="1" x14ac:dyDescent="0.25">
      <c r="A124" s="23" t="s">
        <v>118</v>
      </c>
      <c r="B124" s="26">
        <f xml:space="preserve"> 2143</f>
        <v>2143</v>
      </c>
      <c r="C124" s="26">
        <f>_xll.StatMean(B121:B123)</f>
        <v>2091</v>
      </c>
      <c r="D124" s="26">
        <f t="shared" si="0"/>
        <v>52</v>
      </c>
    </row>
    <row r="125" spans="1:4" ht="12.75" customHeight="1" x14ac:dyDescent="0.25">
      <c r="A125" s="23" t="s">
        <v>119</v>
      </c>
      <c r="B125" s="26">
        <f xml:space="preserve"> 2168</f>
        <v>2168</v>
      </c>
      <c r="C125" s="26">
        <f>_xll.StatMean(B122:B124)</f>
        <v>2120</v>
      </c>
      <c r="D125" s="26">
        <f t="shared" si="0"/>
        <v>48</v>
      </c>
    </row>
    <row r="126" spans="1:4" ht="12.75" customHeight="1" x14ac:dyDescent="0.25">
      <c r="A126" s="23" t="s">
        <v>120</v>
      </c>
      <c r="B126" s="26">
        <f xml:space="preserve"> 2207</f>
        <v>2207</v>
      </c>
      <c r="C126" s="26">
        <f>_xll.StatMean(B123:B125)</f>
        <v>2144.3333333333335</v>
      </c>
      <c r="D126" s="26">
        <f t="shared" si="0"/>
        <v>62.666666666666515</v>
      </c>
    </row>
    <row r="127" spans="1:4" ht="12.75" customHeight="1" x14ac:dyDescent="0.25">
      <c r="A127" s="23" t="s">
        <v>121</v>
      </c>
      <c r="B127" s="26">
        <f xml:space="preserve"> 2226</f>
        <v>2226</v>
      </c>
      <c r="C127" s="26">
        <f>_xll.StatMean(B124:B126)</f>
        <v>2172.6666666666665</v>
      </c>
      <c r="D127" s="26">
        <f t="shared" si="0"/>
        <v>53.333333333333485</v>
      </c>
    </row>
    <row r="128" spans="1:4" ht="12.75" customHeight="1" x14ac:dyDescent="0.25">
      <c r="A128" s="23" t="s">
        <v>122</v>
      </c>
      <c r="B128" s="26">
        <f xml:space="preserve"> 2255</f>
        <v>2255</v>
      </c>
      <c r="C128" s="26">
        <f>_xll.StatMean(B125:B127)</f>
        <v>2200.3333333333335</v>
      </c>
      <c r="D128" s="26">
        <f t="shared" si="0"/>
        <v>54.666666666666515</v>
      </c>
    </row>
    <row r="129" spans="1:4" ht="12.75" customHeight="1" x14ac:dyDescent="0.25">
      <c r="A129" s="23" t="s">
        <v>123</v>
      </c>
      <c r="B129" s="26">
        <f xml:space="preserve"> 2283</f>
        <v>2283</v>
      </c>
      <c r="C129" s="26">
        <f>_xll.StatMean(B126:B128)</f>
        <v>2229.3333333333335</v>
      </c>
      <c r="D129" s="26">
        <f t="shared" si="0"/>
        <v>53.666666666666515</v>
      </c>
    </row>
    <row r="130" spans="1:4" ht="12.75" customHeight="1" x14ac:dyDescent="0.25">
      <c r="A130" s="23" t="s">
        <v>124</v>
      </c>
      <c r="B130" s="26">
        <f xml:space="preserve"> 2309</f>
        <v>2309</v>
      </c>
      <c r="C130" s="26">
        <f>_xll.StatMean(B127:B129)</f>
        <v>2254.6666666666665</v>
      </c>
      <c r="D130" s="26">
        <f t="shared" si="0"/>
        <v>54.333333333333485</v>
      </c>
    </row>
    <row r="131" spans="1:4" ht="12.75" customHeight="1" x14ac:dyDescent="0.25">
      <c r="A131" s="23" t="s">
        <v>125</v>
      </c>
      <c r="B131" s="26">
        <f xml:space="preserve"> 2338</f>
        <v>2338</v>
      </c>
      <c r="C131" s="26">
        <f>_xll.StatMean(B128:B130)</f>
        <v>2282.3333333333335</v>
      </c>
      <c r="D131" s="26">
        <f t="shared" si="0"/>
        <v>55.666666666666515</v>
      </c>
    </row>
    <row r="132" spans="1:4" ht="12.75" customHeight="1" x14ac:dyDescent="0.25">
      <c r="A132" s="23" t="s">
        <v>126</v>
      </c>
      <c r="B132" s="26">
        <f xml:space="preserve"> 2382</f>
        <v>2382</v>
      </c>
      <c r="C132" s="26">
        <f>_xll.StatMean(B129:B131)</f>
        <v>2310</v>
      </c>
      <c r="D132" s="26">
        <f t="shared" si="0"/>
        <v>72</v>
      </c>
    </row>
    <row r="133" spans="1:4" ht="12.75" customHeight="1" x14ac:dyDescent="0.25">
      <c r="A133" s="23" t="s">
        <v>127</v>
      </c>
      <c r="B133" s="26">
        <f xml:space="preserve"> 2400</f>
        <v>2400</v>
      </c>
      <c r="C133" s="26">
        <f>_xll.StatMean(B130:B132)</f>
        <v>2343</v>
      </c>
      <c r="D133" s="26">
        <f t="shared" si="0"/>
        <v>57</v>
      </c>
    </row>
    <row r="134" spans="1:4" ht="12.75" customHeight="1" x14ac:dyDescent="0.25">
      <c r="A134" s="23" t="s">
        <v>128</v>
      </c>
      <c r="B134" s="26">
        <f xml:space="preserve"> 2452</f>
        <v>2452</v>
      </c>
      <c r="C134" s="26">
        <f>_xll.StatMean(B131:B133)</f>
        <v>2373.3333333333335</v>
      </c>
      <c r="D134" s="26">
        <f t="shared" si="0"/>
        <v>78.666666666666515</v>
      </c>
    </row>
    <row r="135" spans="1:4" ht="12.75" customHeight="1" x14ac:dyDescent="0.25">
      <c r="A135" s="23" t="s">
        <v>129</v>
      </c>
      <c r="B135" s="26">
        <f xml:space="preserve"> 2486</f>
        <v>2486</v>
      </c>
      <c r="C135" s="26">
        <f>_xll.StatMean(B132:B134)</f>
        <v>2411.3333333333335</v>
      </c>
      <c r="D135" s="26">
        <f t="shared" si="0"/>
        <v>74.666666666666515</v>
      </c>
    </row>
    <row r="136" spans="1:4" ht="12.75" customHeight="1" x14ac:dyDescent="0.25">
      <c r="A136" s="23" t="s">
        <v>130</v>
      </c>
      <c r="B136" s="26">
        <f xml:space="preserve"> 2522</f>
        <v>2522</v>
      </c>
      <c r="C136" s="26">
        <f>_xll.StatMean(B133:B135)</f>
        <v>2446</v>
      </c>
      <c r="D136" s="26">
        <f t="shared" si="0"/>
        <v>76</v>
      </c>
    </row>
    <row r="137" spans="1:4" ht="12.75" customHeight="1" x14ac:dyDescent="0.25">
      <c r="A137" s="23" t="s">
        <v>131</v>
      </c>
      <c r="B137" s="26">
        <f xml:space="preserve"> 2547</f>
        <v>2547</v>
      </c>
      <c r="C137" s="26">
        <f>_xll.StatMean(B134:B136)</f>
        <v>2486.6666666666665</v>
      </c>
      <c r="D137" s="26">
        <f t="shared" si="0"/>
        <v>60.333333333333485</v>
      </c>
    </row>
    <row r="138" spans="1:4" ht="12.75" customHeight="1" x14ac:dyDescent="0.25">
      <c r="A138" s="23" t="s">
        <v>132</v>
      </c>
      <c r="B138" s="26">
        <f xml:space="preserve"> 2570</f>
        <v>2570</v>
      </c>
      <c r="C138" s="26">
        <f>_xll.StatMean(B135:B137)</f>
        <v>2518.3333333333335</v>
      </c>
      <c r="D138" s="26">
        <f t="shared" si="0"/>
        <v>51.666666666666515</v>
      </c>
    </row>
    <row r="139" spans="1:4" ht="12.75" customHeight="1" x14ac:dyDescent="0.25">
      <c r="A139" s="23" t="s">
        <v>133</v>
      </c>
      <c r="B139" s="26">
        <f xml:space="preserve"> 2611</f>
        <v>2611</v>
      </c>
      <c r="C139" s="26">
        <f>_xll.StatMean(B136:B138)</f>
        <v>2546.3333333333335</v>
      </c>
      <c r="D139" s="26">
        <f t="shared" si="0"/>
        <v>64.666666666666515</v>
      </c>
    </row>
    <row r="140" spans="1:4" ht="12.75" customHeight="1" x14ac:dyDescent="0.25">
      <c r="A140" s="23" t="s">
        <v>134</v>
      </c>
      <c r="B140" s="26">
        <f xml:space="preserve"> 2628</f>
        <v>2628</v>
      </c>
      <c r="C140" s="26">
        <f>_xll.StatMean(B137:B139)</f>
        <v>2576</v>
      </c>
      <c r="D140" s="26">
        <f t="shared" si="0"/>
        <v>52</v>
      </c>
    </row>
    <row r="141" spans="1:4" ht="12.75" customHeight="1" x14ac:dyDescent="0.25">
      <c r="A141" s="23" t="s">
        <v>135</v>
      </c>
      <c r="B141" s="26">
        <f xml:space="preserve"> 2662</f>
        <v>2662</v>
      </c>
      <c r="C141" s="26">
        <f>_xll.StatMean(B138:B140)</f>
        <v>2603</v>
      </c>
      <c r="D141" s="26">
        <f t="shared" si="0"/>
        <v>59</v>
      </c>
    </row>
    <row r="142" spans="1:4" ht="12.75" customHeight="1" x14ac:dyDescent="0.25">
      <c r="A142" s="27" t="s">
        <v>136</v>
      </c>
      <c r="B142" s="28">
        <f xml:space="preserve"> 2696</f>
        <v>2696</v>
      </c>
      <c r="C142" s="28">
        <f>_xll.StatMean(B139:B141)</f>
        <v>2633.6666666666665</v>
      </c>
      <c r="D142" s="28">
        <f t="shared" si="0"/>
        <v>62.333333333333485</v>
      </c>
    </row>
    <row r="143" spans="1:4" ht="12.75" customHeight="1" x14ac:dyDescent="0.25">
      <c r="A143" s="23" t="s">
        <v>137</v>
      </c>
      <c r="B143" s="26"/>
      <c r="C143" s="26">
        <f>_xll.StatMean(B140:B142)</f>
        <v>2662</v>
      </c>
      <c r="D143" s="26"/>
    </row>
    <row r="144" spans="1:4" ht="12.75" customHeight="1" x14ac:dyDescent="0.25">
      <c r="A144" s="23" t="s">
        <v>138</v>
      </c>
      <c r="B144" s="26"/>
      <c r="C144" s="26">
        <f>_xll.StatMean(B141:B142,C143)</f>
        <v>2673.3333333333335</v>
      </c>
      <c r="D144" s="26"/>
    </row>
    <row r="145" spans="1:4" ht="12.75" customHeight="1" x14ac:dyDescent="0.25">
      <c r="A145" s="23" t="s">
        <v>139</v>
      </c>
      <c r="B145" s="26"/>
      <c r="C145" s="26">
        <f>_xll.StatMean(B142,C143:C144)</f>
        <v>2677.1111111111113</v>
      </c>
      <c r="D145" s="26"/>
    </row>
    <row r="146" spans="1:4" ht="12.75" customHeight="1" x14ac:dyDescent="0.25">
      <c r="A146" s="23" t="s">
        <v>140</v>
      </c>
      <c r="B146" s="26"/>
      <c r="C146" s="26">
        <f>_xll.StatMean(C143:C145)</f>
        <v>2670.8148148148152</v>
      </c>
      <c r="D146" s="26"/>
    </row>
    <row r="147" spans="1:4" ht="12.75" customHeight="1" x14ac:dyDescent="0.25">
      <c r="A147" s="23" t="s">
        <v>141</v>
      </c>
      <c r="B147" s="26"/>
      <c r="C147" s="26">
        <f>_xll.StatMean(C144:C146)</f>
        <v>2673.7530864197538</v>
      </c>
      <c r="D147" s="26"/>
    </row>
    <row r="148" spans="1:4" ht="12.75" customHeight="1" x14ac:dyDescent="0.25">
      <c r="A148" s="23" t="s">
        <v>142</v>
      </c>
      <c r="B148" s="26"/>
      <c r="C148" s="26">
        <f>_xll.StatMean(C145:C147)</f>
        <v>2673.8930041152271</v>
      </c>
      <c r="D148" s="26"/>
    </row>
    <row r="149" spans="1:4" ht="12.75" customHeight="1" x14ac:dyDescent="0.25">
      <c r="A149" s="23" t="s">
        <v>143</v>
      </c>
      <c r="B149" s="26"/>
      <c r="C149" s="26">
        <f>_xll.StatMean(C146:C148)</f>
        <v>2672.8203017832652</v>
      </c>
      <c r="D149" s="26"/>
    </row>
    <row r="150" spans="1:4" ht="12.75" customHeight="1" x14ac:dyDescent="0.25">
      <c r="A150" s="23" t="s">
        <v>144</v>
      </c>
      <c r="B150" s="26"/>
      <c r="C150" s="26">
        <f>_xll.StatMean(C147:C149)</f>
        <v>2673.4887974394155</v>
      </c>
      <c r="D150" s="26"/>
    </row>
    <row r="151" spans="1:4" ht="12.75" customHeight="1" x14ac:dyDescent="0.25">
      <c r="A151" s="23" t="s">
        <v>145</v>
      </c>
      <c r="B151" s="26"/>
      <c r="C151" s="26">
        <f>_xll.StatMean(C148:C150)</f>
        <v>2673.4007011126359</v>
      </c>
      <c r="D151" s="26"/>
    </row>
    <row r="152" spans="1:4" ht="12.75" customHeight="1" x14ac:dyDescent="0.25">
      <c r="A152" s="23" t="s">
        <v>146</v>
      </c>
      <c r="B152" s="26"/>
      <c r="C152" s="26">
        <f>_xll.StatMean(C149:C151)</f>
        <v>2673.2366001117721</v>
      </c>
      <c r="D152" s="26"/>
    </row>
    <row r="153" spans="1:4" ht="12.75" customHeight="1" x14ac:dyDescent="0.25">
      <c r="A153" s="23" t="s">
        <v>147</v>
      </c>
      <c r="B153" s="26"/>
      <c r="C153" s="26">
        <f>_xll.StatMean(C150:C152)</f>
        <v>2673.3753662212744</v>
      </c>
      <c r="D153" s="26"/>
    </row>
    <row r="154" spans="1:4" ht="12.75" customHeight="1" x14ac:dyDescent="0.25">
      <c r="A154" s="23" t="s">
        <v>148</v>
      </c>
      <c r="B154" s="26"/>
      <c r="C154" s="26">
        <f>_xll.StatMean(C151:C153)</f>
        <v>2673.3375558152275</v>
      </c>
      <c r="D154" s="26"/>
    </row>
  </sheetData>
  <phoneticPr fontId="1" type="noConversion"/>
  <pageMargins left="0.75" right="0.75" top="1" bottom="1" header="0.5" footer="0.5"/>
  <pageSetup orientation="portrait" blackAndWhite="1" horizontalDpi="300" verticalDpi="30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54"/>
  <sheetViews>
    <sheetView showGridLines="0" workbookViewId="0"/>
  </sheetViews>
  <sheetFormatPr defaultColWidth="12.7109375" defaultRowHeight="15" x14ac:dyDescent="0.25"/>
  <cols>
    <col min="1" max="1" width="18.5703125" style="1" bestFit="1" customWidth="1"/>
    <col min="2" max="2" width="18.140625" style="1" bestFit="1" customWidth="1"/>
    <col min="3" max="4" width="12.7109375" style="1" customWidth="1"/>
    <col min="5" max="16384" width="12.7109375" style="1"/>
  </cols>
  <sheetData>
    <row r="1" spans="1:2" s="4" customFormat="1" ht="18" x14ac:dyDescent="0.25">
      <c r="A1" s="15" t="s">
        <v>41</v>
      </c>
      <c r="B1" s="18" t="s">
        <v>42</v>
      </c>
    </row>
    <row r="2" spans="1:2" s="4" customFormat="1" x14ac:dyDescent="0.25">
      <c r="A2" s="16" t="s">
        <v>43</v>
      </c>
      <c r="B2" s="18" t="s">
        <v>49</v>
      </c>
    </row>
    <row r="3" spans="1:2" s="4" customFormat="1" x14ac:dyDescent="0.25">
      <c r="A3" s="16" t="s">
        <v>45</v>
      </c>
      <c r="B3" s="18" t="s">
        <v>75</v>
      </c>
    </row>
    <row r="4" spans="1:2" s="4" customFormat="1" x14ac:dyDescent="0.25">
      <c r="A4" s="16" t="s">
        <v>46</v>
      </c>
      <c r="B4" s="18" t="s">
        <v>76</v>
      </c>
    </row>
    <row r="5" spans="1:2" s="5" customFormat="1" x14ac:dyDescent="0.25">
      <c r="A5" s="17" t="s">
        <v>47</v>
      </c>
      <c r="B5" s="19" t="s">
        <v>48</v>
      </c>
    </row>
    <row r="7" spans="1:2" ht="12.75" customHeight="1" x14ac:dyDescent="0.25">
      <c r="A7" s="24"/>
      <c r="B7" s="21"/>
    </row>
    <row r="8" spans="1:2" ht="12.75" customHeight="1" thickBot="1" x14ac:dyDescent="0.3">
      <c r="A8" s="25" t="s">
        <v>50</v>
      </c>
      <c r="B8" s="22"/>
    </row>
    <row r="9" spans="1:2" ht="12.75" customHeight="1" thickTop="1" x14ac:dyDescent="0.25">
      <c r="A9" s="23" t="s">
        <v>53</v>
      </c>
      <c r="B9" s="20">
        <v>6</v>
      </c>
    </row>
    <row r="10" spans="1:2" ht="12.75" customHeight="1" x14ac:dyDescent="0.25"/>
    <row r="11" spans="1:2" ht="12.75" customHeight="1" x14ac:dyDescent="0.25">
      <c r="A11" s="24"/>
      <c r="B11" s="21"/>
    </row>
    <row r="12" spans="1:2" ht="12.75" customHeight="1" thickBot="1" x14ac:dyDescent="0.3">
      <c r="A12" s="25" t="s">
        <v>51</v>
      </c>
      <c r="B12" s="22"/>
    </row>
    <row r="13" spans="1:2" ht="12.75" customHeight="1" thickTop="1" x14ac:dyDescent="0.25">
      <c r="A13" s="23" t="s">
        <v>54</v>
      </c>
      <c r="B13" s="26">
        <f>_xll.StatMeanAbs(D89:D142)</f>
        <v>98.981481481481481</v>
      </c>
    </row>
    <row r="14" spans="1:2" ht="12.75" customHeight="1" x14ac:dyDescent="0.25">
      <c r="A14" s="23" t="s">
        <v>55</v>
      </c>
      <c r="B14" s="26">
        <f>SQRT(SUMSQ(D89:D142)/_xll.StatCount(D89:D142))</f>
        <v>99.747464049779936</v>
      </c>
    </row>
    <row r="15" spans="1:2" ht="12.75" customHeight="1" x14ac:dyDescent="0.25">
      <c r="A15" s="23" t="s">
        <v>56</v>
      </c>
      <c r="B15" s="29">
        <f>_xll.StatPairMeanAbsQuotient(D89:D142,B89:B142)</f>
        <v>5.3890760502165014E-2</v>
      </c>
    </row>
    <row r="16" spans="1:2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spans="1:4" ht="12.75" customHeight="1" x14ac:dyDescent="0.25">
      <c r="A81" s="24"/>
      <c r="B81" s="21"/>
      <c r="C81" s="21"/>
      <c r="D81" s="21"/>
    </row>
    <row r="82" spans="1:4" ht="12.75" customHeight="1" thickBot="1" x14ac:dyDescent="0.3">
      <c r="A82" s="25" t="s">
        <v>52</v>
      </c>
      <c r="B82" s="22" t="s">
        <v>1</v>
      </c>
      <c r="C82" s="22" t="s">
        <v>49</v>
      </c>
      <c r="D82" s="22" t="s">
        <v>57</v>
      </c>
    </row>
    <row r="83" spans="1:4" ht="12.75" customHeight="1" thickTop="1" x14ac:dyDescent="0.25">
      <c r="A83" s="23" t="s">
        <v>77</v>
      </c>
      <c r="B83" s="26">
        <f xml:space="preserve"> 1000</f>
        <v>1000</v>
      </c>
      <c r="C83" s="26"/>
      <c r="D83" s="26"/>
    </row>
    <row r="84" spans="1:4" ht="12.75" customHeight="1" x14ac:dyDescent="0.25">
      <c r="A84" s="23" t="s">
        <v>78</v>
      </c>
      <c r="B84" s="26">
        <f xml:space="preserve"> 1025</f>
        <v>1025</v>
      </c>
      <c r="C84" s="26"/>
      <c r="D84" s="26"/>
    </row>
    <row r="85" spans="1:4" ht="12.75" customHeight="1" x14ac:dyDescent="0.25">
      <c r="A85" s="23" t="s">
        <v>79</v>
      </c>
      <c r="B85" s="26">
        <f xml:space="preserve"> 1066</f>
        <v>1066</v>
      </c>
      <c r="C85" s="26"/>
      <c r="D85" s="26"/>
    </row>
    <row r="86" spans="1:4" ht="12.75" customHeight="1" x14ac:dyDescent="0.25">
      <c r="A86" s="23" t="s">
        <v>80</v>
      </c>
      <c r="B86" s="26">
        <f xml:space="preserve"> 1107</f>
        <v>1107</v>
      </c>
      <c r="C86" s="26"/>
      <c r="D86" s="26"/>
    </row>
    <row r="87" spans="1:4" ht="12.75" customHeight="1" x14ac:dyDescent="0.25">
      <c r="A87" s="23" t="s">
        <v>81</v>
      </c>
      <c r="B87" s="26">
        <f xml:space="preserve"> 1148</f>
        <v>1148</v>
      </c>
      <c r="C87" s="26"/>
      <c r="D87" s="26"/>
    </row>
    <row r="88" spans="1:4" ht="12.75" customHeight="1" x14ac:dyDescent="0.25">
      <c r="A88" s="23" t="s">
        <v>82</v>
      </c>
      <c r="B88" s="26">
        <f xml:space="preserve"> 1172</f>
        <v>1172</v>
      </c>
      <c r="C88" s="26"/>
      <c r="D88" s="26"/>
    </row>
    <row r="89" spans="1:4" ht="12.75" customHeight="1" x14ac:dyDescent="0.25">
      <c r="A89" s="23" t="s">
        <v>83</v>
      </c>
      <c r="B89" s="26">
        <f xml:space="preserve"> 1200</f>
        <v>1200</v>
      </c>
      <c r="C89" s="26">
        <f>_xll.StatMean(B83:B88)</f>
        <v>1086.3333333333333</v>
      </c>
      <c r="D89" s="26">
        <f>B89-C89</f>
        <v>113.66666666666674</v>
      </c>
    </row>
    <row r="90" spans="1:4" ht="12.75" customHeight="1" x14ac:dyDescent="0.25">
      <c r="A90" s="23" t="s">
        <v>84</v>
      </c>
      <c r="B90" s="26">
        <f xml:space="preserve"> 1229</f>
        <v>1229</v>
      </c>
      <c r="C90" s="26">
        <f>_xll.StatMean(B84:B89)</f>
        <v>1119.6666666666667</v>
      </c>
      <c r="D90" s="26">
        <f t="shared" ref="D90:D142" si="0">B90-C90</f>
        <v>109.33333333333326</v>
      </c>
    </row>
    <row r="91" spans="1:4" ht="12.75" customHeight="1" x14ac:dyDescent="0.25">
      <c r="A91" s="23" t="s">
        <v>85</v>
      </c>
      <c r="B91" s="26">
        <f xml:space="preserve"> 1251</f>
        <v>1251</v>
      </c>
      <c r="C91" s="26">
        <f>_xll.StatMean(B85:B90)</f>
        <v>1153.6666666666667</v>
      </c>
      <c r="D91" s="26">
        <f t="shared" si="0"/>
        <v>97.333333333333258</v>
      </c>
    </row>
    <row r="92" spans="1:4" ht="12.75" customHeight="1" x14ac:dyDescent="0.25">
      <c r="A92" s="23" t="s">
        <v>86</v>
      </c>
      <c r="B92" s="26">
        <f xml:space="preserve"> 1279</f>
        <v>1279</v>
      </c>
      <c r="C92" s="26">
        <f>_xll.StatMean(B86:B91)</f>
        <v>1184.5</v>
      </c>
      <c r="D92" s="26">
        <f t="shared" si="0"/>
        <v>94.5</v>
      </c>
    </row>
    <row r="93" spans="1:4" ht="12.75" customHeight="1" x14ac:dyDescent="0.25">
      <c r="A93" s="23" t="s">
        <v>87</v>
      </c>
      <c r="B93" s="26">
        <f xml:space="preserve"> 1317</f>
        <v>1317</v>
      </c>
      <c r="C93" s="26">
        <f>_xll.StatMean(B87:B92)</f>
        <v>1213.1666666666667</v>
      </c>
      <c r="D93" s="26">
        <f t="shared" si="0"/>
        <v>103.83333333333326</v>
      </c>
    </row>
    <row r="94" spans="1:4" ht="12.75" customHeight="1" x14ac:dyDescent="0.25">
      <c r="A94" s="23" t="s">
        <v>88</v>
      </c>
      <c r="B94" s="26">
        <f xml:space="preserve"> 1336</f>
        <v>1336</v>
      </c>
      <c r="C94" s="26">
        <f>_xll.StatMean(B88:B93)</f>
        <v>1241.3333333333333</v>
      </c>
      <c r="D94" s="26">
        <f t="shared" si="0"/>
        <v>94.666666666666742</v>
      </c>
    </row>
    <row r="95" spans="1:4" ht="12.75" customHeight="1" x14ac:dyDescent="0.25">
      <c r="A95" s="23" t="s">
        <v>89</v>
      </c>
      <c r="B95" s="26">
        <f xml:space="preserve"> 1368</f>
        <v>1368</v>
      </c>
      <c r="C95" s="26">
        <f>_xll.StatMean(B89:B94)</f>
        <v>1268.6666666666667</v>
      </c>
      <c r="D95" s="26">
        <f t="shared" si="0"/>
        <v>99.333333333333258</v>
      </c>
    </row>
    <row r="96" spans="1:4" ht="12.75" customHeight="1" x14ac:dyDescent="0.25">
      <c r="A96" s="23" t="s">
        <v>90</v>
      </c>
      <c r="B96" s="26">
        <f xml:space="preserve"> 1380</f>
        <v>1380</v>
      </c>
      <c r="C96" s="26">
        <f>_xll.StatMean(B90:B95)</f>
        <v>1296.6666666666667</v>
      </c>
      <c r="D96" s="26">
        <f t="shared" si="0"/>
        <v>83.333333333333258</v>
      </c>
    </row>
    <row r="97" spans="1:4" ht="12.75" customHeight="1" x14ac:dyDescent="0.25">
      <c r="A97" s="23" t="s">
        <v>91</v>
      </c>
      <c r="B97" s="26">
        <f xml:space="preserve"> 1406</f>
        <v>1406</v>
      </c>
      <c r="C97" s="26">
        <f>_xll.StatMean(B91:B96)</f>
        <v>1321.8333333333333</v>
      </c>
      <c r="D97" s="26">
        <f t="shared" si="0"/>
        <v>84.166666666666742</v>
      </c>
    </row>
    <row r="98" spans="1:4" ht="12.75" customHeight="1" x14ac:dyDescent="0.25">
      <c r="A98" s="23" t="s">
        <v>92</v>
      </c>
      <c r="B98" s="26">
        <f xml:space="preserve"> 1439</f>
        <v>1439</v>
      </c>
      <c r="C98" s="26">
        <f>_xll.StatMean(B92:B97)</f>
        <v>1347.6666666666667</v>
      </c>
      <c r="D98" s="26">
        <f t="shared" si="0"/>
        <v>91.333333333333258</v>
      </c>
    </row>
    <row r="99" spans="1:4" ht="12.75" customHeight="1" x14ac:dyDescent="0.25">
      <c r="A99" s="23" t="s">
        <v>93</v>
      </c>
      <c r="B99" s="26">
        <f xml:space="preserve"> 1474</f>
        <v>1474</v>
      </c>
      <c r="C99" s="26">
        <f>_xll.StatMean(B93:B98)</f>
        <v>1374.3333333333333</v>
      </c>
      <c r="D99" s="26">
        <f t="shared" si="0"/>
        <v>99.666666666666742</v>
      </c>
    </row>
    <row r="100" spans="1:4" ht="12.75" customHeight="1" x14ac:dyDescent="0.25">
      <c r="A100" s="23" t="s">
        <v>94</v>
      </c>
      <c r="B100" s="26">
        <f xml:space="preserve"> 1499</f>
        <v>1499</v>
      </c>
      <c r="C100" s="26">
        <f>_xll.StatMean(B94:B99)</f>
        <v>1400.5</v>
      </c>
      <c r="D100" s="26">
        <f t="shared" si="0"/>
        <v>98.5</v>
      </c>
    </row>
    <row r="101" spans="1:4" ht="12.75" customHeight="1" x14ac:dyDescent="0.25">
      <c r="A101" s="23" t="s">
        <v>95</v>
      </c>
      <c r="B101" s="26">
        <f xml:space="preserve"> 1528</f>
        <v>1528</v>
      </c>
      <c r="C101" s="26">
        <f>_xll.StatMean(B95:B100)</f>
        <v>1427.6666666666667</v>
      </c>
      <c r="D101" s="26">
        <f t="shared" si="0"/>
        <v>100.33333333333326</v>
      </c>
    </row>
    <row r="102" spans="1:4" ht="12.75" customHeight="1" x14ac:dyDescent="0.25">
      <c r="A102" s="23" t="s">
        <v>96</v>
      </c>
      <c r="B102" s="26">
        <f xml:space="preserve"> 1541</f>
        <v>1541</v>
      </c>
      <c r="C102" s="26">
        <f>_xll.StatMean(B96:B101)</f>
        <v>1454.3333333333333</v>
      </c>
      <c r="D102" s="26">
        <f t="shared" si="0"/>
        <v>86.666666666666742</v>
      </c>
    </row>
    <row r="103" spans="1:4" ht="12.75" customHeight="1" x14ac:dyDescent="0.25">
      <c r="A103" s="23" t="s">
        <v>97</v>
      </c>
      <c r="B103" s="26">
        <f xml:space="preserve"> 1570</f>
        <v>1570</v>
      </c>
      <c r="C103" s="26">
        <f>_xll.StatMean(B97:B102)</f>
        <v>1481.1666666666667</v>
      </c>
      <c r="D103" s="26">
        <f t="shared" si="0"/>
        <v>88.833333333333258</v>
      </c>
    </row>
    <row r="104" spans="1:4" ht="12.75" customHeight="1" x14ac:dyDescent="0.25">
      <c r="A104" s="23" t="s">
        <v>98</v>
      </c>
      <c r="B104" s="26">
        <f xml:space="preserve"> 1608</f>
        <v>1608</v>
      </c>
      <c r="C104" s="26">
        <f>_xll.StatMean(B98:B103)</f>
        <v>1508.5</v>
      </c>
      <c r="D104" s="26">
        <f t="shared" si="0"/>
        <v>99.5</v>
      </c>
    </row>
    <row r="105" spans="1:4" ht="12.75" customHeight="1" x14ac:dyDescent="0.25">
      <c r="A105" s="23" t="s">
        <v>99</v>
      </c>
      <c r="B105" s="26">
        <f xml:space="preserve"> 1632</f>
        <v>1632</v>
      </c>
      <c r="C105" s="26">
        <f>_xll.StatMean(B99:B104)</f>
        <v>1536.6666666666667</v>
      </c>
      <c r="D105" s="26">
        <f t="shared" si="0"/>
        <v>95.333333333333258</v>
      </c>
    </row>
    <row r="106" spans="1:4" ht="12.75" customHeight="1" x14ac:dyDescent="0.25">
      <c r="A106" s="23" t="s">
        <v>100</v>
      </c>
      <c r="B106" s="26">
        <f xml:space="preserve"> 1661</f>
        <v>1661</v>
      </c>
      <c r="C106" s="26">
        <f>_xll.StatMean(B100:B105)</f>
        <v>1563</v>
      </c>
      <c r="D106" s="26">
        <f t="shared" si="0"/>
        <v>98</v>
      </c>
    </row>
    <row r="107" spans="1:4" ht="12.75" customHeight="1" x14ac:dyDescent="0.25">
      <c r="A107" s="23" t="s">
        <v>101</v>
      </c>
      <c r="B107" s="26">
        <f xml:space="preserve"> 1701</f>
        <v>1701</v>
      </c>
      <c r="C107" s="26">
        <f>_xll.StatMean(B101:B106)</f>
        <v>1590</v>
      </c>
      <c r="D107" s="26">
        <f t="shared" si="0"/>
        <v>111</v>
      </c>
    </row>
    <row r="108" spans="1:4" ht="12.75" customHeight="1" x14ac:dyDescent="0.25">
      <c r="A108" s="23" t="s">
        <v>102</v>
      </c>
      <c r="B108" s="26">
        <f xml:space="preserve"> 1732</f>
        <v>1732</v>
      </c>
      <c r="C108" s="26">
        <f>_xll.StatMean(B102:B107)</f>
        <v>1618.8333333333333</v>
      </c>
      <c r="D108" s="26">
        <f t="shared" si="0"/>
        <v>113.16666666666674</v>
      </c>
    </row>
    <row r="109" spans="1:4" ht="12.75" customHeight="1" x14ac:dyDescent="0.25">
      <c r="A109" s="23" t="s">
        <v>103</v>
      </c>
      <c r="B109" s="26">
        <f xml:space="preserve"> 1758</f>
        <v>1758</v>
      </c>
      <c r="C109" s="26">
        <f>_xll.StatMean(B103:B108)</f>
        <v>1650.6666666666667</v>
      </c>
      <c r="D109" s="26">
        <f t="shared" si="0"/>
        <v>107.33333333333326</v>
      </c>
    </row>
    <row r="110" spans="1:4" ht="12.75" customHeight="1" x14ac:dyDescent="0.25">
      <c r="A110" s="23" t="s">
        <v>104</v>
      </c>
      <c r="B110" s="26">
        <f xml:space="preserve"> 1774</f>
        <v>1774</v>
      </c>
      <c r="C110" s="26">
        <f>_xll.StatMean(B104:B109)</f>
        <v>1682</v>
      </c>
      <c r="D110" s="26">
        <f t="shared" si="0"/>
        <v>92</v>
      </c>
    </row>
    <row r="111" spans="1:4" ht="12.75" customHeight="1" x14ac:dyDescent="0.25">
      <c r="A111" s="23" t="s">
        <v>105</v>
      </c>
      <c r="B111" s="26">
        <f xml:space="preserve"> 1808</f>
        <v>1808</v>
      </c>
      <c r="C111" s="26">
        <f>_xll.StatMean(B105:B110)</f>
        <v>1709.6666666666667</v>
      </c>
      <c r="D111" s="26">
        <f t="shared" si="0"/>
        <v>98.333333333333258</v>
      </c>
    </row>
    <row r="112" spans="1:4" ht="12.75" customHeight="1" x14ac:dyDescent="0.25">
      <c r="A112" s="23" t="s">
        <v>106</v>
      </c>
      <c r="B112" s="26">
        <f xml:space="preserve"> 1827</f>
        <v>1827</v>
      </c>
      <c r="C112" s="26">
        <f>_xll.StatMean(B106:B111)</f>
        <v>1739</v>
      </c>
      <c r="D112" s="26">
        <f t="shared" si="0"/>
        <v>88</v>
      </c>
    </row>
    <row r="113" spans="1:4" ht="12.75" customHeight="1" x14ac:dyDescent="0.25">
      <c r="A113" s="23" t="s">
        <v>107</v>
      </c>
      <c r="B113" s="26">
        <f xml:space="preserve"> 1844</f>
        <v>1844</v>
      </c>
      <c r="C113" s="26">
        <f>_xll.StatMean(B107:B112)</f>
        <v>1766.6666666666667</v>
      </c>
      <c r="D113" s="26">
        <f t="shared" si="0"/>
        <v>77.333333333333258</v>
      </c>
    </row>
    <row r="114" spans="1:4" ht="12.75" customHeight="1" x14ac:dyDescent="0.25">
      <c r="A114" s="23" t="s">
        <v>108</v>
      </c>
      <c r="B114" s="26">
        <f xml:space="preserve"> 1871</f>
        <v>1871</v>
      </c>
      <c r="C114" s="26">
        <f>_xll.StatMean(B108:B113)</f>
        <v>1790.5</v>
      </c>
      <c r="D114" s="26">
        <f t="shared" si="0"/>
        <v>80.5</v>
      </c>
    </row>
    <row r="115" spans="1:4" ht="12.75" customHeight="1" x14ac:dyDescent="0.25">
      <c r="A115" s="23" t="s">
        <v>109</v>
      </c>
      <c r="B115" s="26">
        <f xml:space="preserve"> 1898</f>
        <v>1898</v>
      </c>
      <c r="C115" s="26">
        <f>_xll.StatMean(B109:B114)</f>
        <v>1813.6666666666667</v>
      </c>
      <c r="D115" s="26">
        <f t="shared" si="0"/>
        <v>84.333333333333258</v>
      </c>
    </row>
    <row r="116" spans="1:4" ht="12.75" customHeight="1" x14ac:dyDescent="0.25">
      <c r="A116" s="23" t="s">
        <v>110</v>
      </c>
      <c r="B116" s="26">
        <f xml:space="preserve"> 1908</f>
        <v>1908</v>
      </c>
      <c r="C116" s="26">
        <f>_xll.StatMean(B110:B115)</f>
        <v>1837</v>
      </c>
      <c r="D116" s="26">
        <f t="shared" si="0"/>
        <v>71</v>
      </c>
    </row>
    <row r="117" spans="1:4" ht="12.75" customHeight="1" x14ac:dyDescent="0.25">
      <c r="A117" s="23" t="s">
        <v>111</v>
      </c>
      <c r="B117" s="26">
        <f xml:space="preserve"> 1934</f>
        <v>1934</v>
      </c>
      <c r="C117" s="26">
        <f>_xll.StatMean(B111:B116)</f>
        <v>1859.3333333333333</v>
      </c>
      <c r="D117" s="26">
        <f t="shared" si="0"/>
        <v>74.666666666666742</v>
      </c>
    </row>
    <row r="118" spans="1:4" ht="12.75" customHeight="1" x14ac:dyDescent="0.25">
      <c r="A118" s="23" t="s">
        <v>112</v>
      </c>
      <c r="B118" s="26">
        <f xml:space="preserve"> 1968</f>
        <v>1968</v>
      </c>
      <c r="C118" s="26">
        <f>_xll.StatMean(B112:B117)</f>
        <v>1880.3333333333333</v>
      </c>
      <c r="D118" s="26">
        <f t="shared" si="0"/>
        <v>87.666666666666742</v>
      </c>
    </row>
    <row r="119" spans="1:4" ht="12.75" customHeight="1" x14ac:dyDescent="0.25">
      <c r="A119" s="23" t="s">
        <v>113</v>
      </c>
      <c r="B119" s="26">
        <f xml:space="preserve"> 1986</f>
        <v>1986</v>
      </c>
      <c r="C119" s="26">
        <f>_xll.StatMean(B113:B118)</f>
        <v>1903.8333333333333</v>
      </c>
      <c r="D119" s="26">
        <f t="shared" si="0"/>
        <v>82.166666666666742</v>
      </c>
    </row>
    <row r="120" spans="1:4" ht="12.75" customHeight="1" x14ac:dyDescent="0.25">
      <c r="A120" s="23" t="s">
        <v>114</v>
      </c>
      <c r="B120" s="26">
        <f xml:space="preserve"> 2021</f>
        <v>2021</v>
      </c>
      <c r="C120" s="26">
        <f>_xll.StatMean(B114:B119)</f>
        <v>1927.5</v>
      </c>
      <c r="D120" s="26">
        <f t="shared" si="0"/>
        <v>93.5</v>
      </c>
    </row>
    <row r="121" spans="1:4" ht="12.75" customHeight="1" x14ac:dyDescent="0.25">
      <c r="A121" s="23" t="s">
        <v>115</v>
      </c>
      <c r="B121" s="26">
        <f xml:space="preserve"> 2056</f>
        <v>2056</v>
      </c>
      <c r="C121" s="26">
        <f>_xll.StatMean(B115:B120)</f>
        <v>1952.5</v>
      </c>
      <c r="D121" s="26">
        <f t="shared" si="0"/>
        <v>103.5</v>
      </c>
    </row>
    <row r="122" spans="1:4" ht="12.75" customHeight="1" x14ac:dyDescent="0.25">
      <c r="A122" s="23" t="s">
        <v>116</v>
      </c>
      <c r="B122" s="26">
        <f xml:space="preserve"> 2095</f>
        <v>2095</v>
      </c>
      <c r="C122" s="26">
        <f>_xll.StatMean(B116:B121)</f>
        <v>1978.8333333333333</v>
      </c>
      <c r="D122" s="26">
        <f t="shared" si="0"/>
        <v>116.16666666666674</v>
      </c>
    </row>
    <row r="123" spans="1:4" ht="12.75" customHeight="1" x14ac:dyDescent="0.25">
      <c r="A123" s="23" t="s">
        <v>117</v>
      </c>
      <c r="B123" s="26">
        <f xml:space="preserve"> 2122</f>
        <v>2122</v>
      </c>
      <c r="C123" s="26">
        <f>_xll.StatMean(B117:B122)</f>
        <v>2010</v>
      </c>
      <c r="D123" s="26">
        <f t="shared" si="0"/>
        <v>112</v>
      </c>
    </row>
    <row r="124" spans="1:4" ht="12.75" customHeight="1" x14ac:dyDescent="0.25">
      <c r="A124" s="23" t="s">
        <v>118</v>
      </c>
      <c r="B124" s="26">
        <f xml:space="preserve"> 2143</f>
        <v>2143</v>
      </c>
      <c r="C124" s="26">
        <f>_xll.StatMean(B118:B123)</f>
        <v>2041.3333333333333</v>
      </c>
      <c r="D124" s="26">
        <f t="shared" si="0"/>
        <v>101.66666666666674</v>
      </c>
    </row>
    <row r="125" spans="1:4" ht="12.75" customHeight="1" x14ac:dyDescent="0.25">
      <c r="A125" s="23" t="s">
        <v>119</v>
      </c>
      <c r="B125" s="26">
        <f xml:space="preserve"> 2168</f>
        <v>2168</v>
      </c>
      <c r="C125" s="26">
        <f>_xll.StatMean(B119:B124)</f>
        <v>2070.5</v>
      </c>
      <c r="D125" s="26">
        <f t="shared" si="0"/>
        <v>97.5</v>
      </c>
    </row>
    <row r="126" spans="1:4" ht="12.75" customHeight="1" x14ac:dyDescent="0.25">
      <c r="A126" s="23" t="s">
        <v>120</v>
      </c>
      <c r="B126" s="26">
        <f xml:space="preserve"> 2207</f>
        <v>2207</v>
      </c>
      <c r="C126" s="26">
        <f>_xll.StatMean(B120:B125)</f>
        <v>2100.8333333333335</v>
      </c>
      <c r="D126" s="26">
        <f t="shared" si="0"/>
        <v>106.16666666666652</v>
      </c>
    </row>
    <row r="127" spans="1:4" ht="12.75" customHeight="1" x14ac:dyDescent="0.25">
      <c r="A127" s="23" t="s">
        <v>121</v>
      </c>
      <c r="B127" s="26">
        <f xml:space="preserve"> 2226</f>
        <v>2226</v>
      </c>
      <c r="C127" s="26">
        <f>_xll.StatMean(B121:B126)</f>
        <v>2131.8333333333335</v>
      </c>
      <c r="D127" s="26">
        <f t="shared" si="0"/>
        <v>94.166666666666515</v>
      </c>
    </row>
    <row r="128" spans="1:4" ht="12.75" customHeight="1" x14ac:dyDescent="0.25">
      <c r="A128" s="23" t="s">
        <v>122</v>
      </c>
      <c r="B128" s="26">
        <f xml:space="preserve"> 2255</f>
        <v>2255</v>
      </c>
      <c r="C128" s="26">
        <f>_xll.StatMean(B122:B127)</f>
        <v>2160.1666666666665</v>
      </c>
      <c r="D128" s="26">
        <f t="shared" si="0"/>
        <v>94.833333333333485</v>
      </c>
    </row>
    <row r="129" spans="1:4" ht="12.75" customHeight="1" x14ac:dyDescent="0.25">
      <c r="A129" s="23" t="s">
        <v>123</v>
      </c>
      <c r="B129" s="26">
        <f xml:space="preserve"> 2283</f>
        <v>2283</v>
      </c>
      <c r="C129" s="26">
        <f>_xll.StatMean(B123:B128)</f>
        <v>2186.8333333333335</v>
      </c>
      <c r="D129" s="26">
        <f t="shared" si="0"/>
        <v>96.166666666666515</v>
      </c>
    </row>
    <row r="130" spans="1:4" ht="12.75" customHeight="1" x14ac:dyDescent="0.25">
      <c r="A130" s="23" t="s">
        <v>124</v>
      </c>
      <c r="B130" s="26">
        <f xml:space="preserve"> 2309</f>
        <v>2309</v>
      </c>
      <c r="C130" s="26">
        <f>_xll.StatMean(B124:B129)</f>
        <v>2213.6666666666665</v>
      </c>
      <c r="D130" s="26">
        <f t="shared" si="0"/>
        <v>95.333333333333485</v>
      </c>
    </row>
    <row r="131" spans="1:4" ht="12.75" customHeight="1" x14ac:dyDescent="0.25">
      <c r="A131" s="23" t="s">
        <v>125</v>
      </c>
      <c r="B131" s="26">
        <f xml:space="preserve"> 2338</f>
        <v>2338</v>
      </c>
      <c r="C131" s="26">
        <f>_xll.StatMean(B125:B130)</f>
        <v>2241.3333333333335</v>
      </c>
      <c r="D131" s="26">
        <f t="shared" si="0"/>
        <v>96.666666666666515</v>
      </c>
    </row>
    <row r="132" spans="1:4" ht="12.75" customHeight="1" x14ac:dyDescent="0.25">
      <c r="A132" s="23" t="s">
        <v>126</v>
      </c>
      <c r="B132" s="26">
        <f xml:space="preserve"> 2382</f>
        <v>2382</v>
      </c>
      <c r="C132" s="26">
        <f>_xll.StatMean(B126:B131)</f>
        <v>2269.6666666666665</v>
      </c>
      <c r="D132" s="26">
        <f t="shared" si="0"/>
        <v>112.33333333333348</v>
      </c>
    </row>
    <row r="133" spans="1:4" ht="12.75" customHeight="1" x14ac:dyDescent="0.25">
      <c r="A133" s="23" t="s">
        <v>127</v>
      </c>
      <c r="B133" s="26">
        <f xml:space="preserve"> 2400</f>
        <v>2400</v>
      </c>
      <c r="C133" s="26">
        <f>_xll.StatMean(B127:B132)</f>
        <v>2298.8333333333335</v>
      </c>
      <c r="D133" s="26">
        <f t="shared" si="0"/>
        <v>101.16666666666652</v>
      </c>
    </row>
    <row r="134" spans="1:4" ht="12.75" customHeight="1" x14ac:dyDescent="0.25">
      <c r="A134" s="23" t="s">
        <v>128</v>
      </c>
      <c r="B134" s="26">
        <f xml:space="preserve"> 2452</f>
        <v>2452</v>
      </c>
      <c r="C134" s="26">
        <f>_xll.StatMean(B128:B133)</f>
        <v>2327.8333333333335</v>
      </c>
      <c r="D134" s="26">
        <f t="shared" si="0"/>
        <v>124.16666666666652</v>
      </c>
    </row>
    <row r="135" spans="1:4" ht="12.75" customHeight="1" x14ac:dyDescent="0.25">
      <c r="A135" s="23" t="s">
        <v>129</v>
      </c>
      <c r="B135" s="26">
        <f xml:space="preserve"> 2486</f>
        <v>2486</v>
      </c>
      <c r="C135" s="26">
        <f>_xll.StatMean(B129:B134)</f>
        <v>2360.6666666666665</v>
      </c>
      <c r="D135" s="26">
        <f t="shared" si="0"/>
        <v>125.33333333333348</v>
      </c>
    </row>
    <row r="136" spans="1:4" ht="12.75" customHeight="1" x14ac:dyDescent="0.25">
      <c r="A136" s="23" t="s">
        <v>130</v>
      </c>
      <c r="B136" s="26">
        <f xml:space="preserve"> 2522</f>
        <v>2522</v>
      </c>
      <c r="C136" s="26">
        <f>_xll.StatMean(B130:B135)</f>
        <v>2394.5</v>
      </c>
      <c r="D136" s="26">
        <f t="shared" si="0"/>
        <v>127.5</v>
      </c>
    </row>
    <row r="137" spans="1:4" ht="12.75" customHeight="1" x14ac:dyDescent="0.25">
      <c r="A137" s="23" t="s">
        <v>131</v>
      </c>
      <c r="B137" s="26">
        <f xml:space="preserve"> 2547</f>
        <v>2547</v>
      </c>
      <c r="C137" s="26">
        <f>_xll.StatMean(B131:B136)</f>
        <v>2430</v>
      </c>
      <c r="D137" s="26">
        <f t="shared" si="0"/>
        <v>117</v>
      </c>
    </row>
    <row r="138" spans="1:4" ht="12.75" customHeight="1" x14ac:dyDescent="0.25">
      <c r="A138" s="23" t="s">
        <v>132</v>
      </c>
      <c r="B138" s="26">
        <f xml:space="preserve"> 2570</f>
        <v>2570</v>
      </c>
      <c r="C138" s="26">
        <f>_xll.StatMean(B132:B137)</f>
        <v>2464.8333333333335</v>
      </c>
      <c r="D138" s="26">
        <f t="shared" si="0"/>
        <v>105.16666666666652</v>
      </c>
    </row>
    <row r="139" spans="1:4" ht="12.75" customHeight="1" x14ac:dyDescent="0.25">
      <c r="A139" s="23" t="s">
        <v>133</v>
      </c>
      <c r="B139" s="26">
        <f xml:space="preserve"> 2611</f>
        <v>2611</v>
      </c>
      <c r="C139" s="26">
        <f>_xll.StatMean(B133:B138)</f>
        <v>2496.1666666666665</v>
      </c>
      <c r="D139" s="26">
        <f t="shared" si="0"/>
        <v>114.83333333333348</v>
      </c>
    </row>
    <row r="140" spans="1:4" ht="12.75" customHeight="1" x14ac:dyDescent="0.25">
      <c r="A140" s="23" t="s">
        <v>134</v>
      </c>
      <c r="B140" s="26">
        <f xml:space="preserve"> 2628</f>
        <v>2628</v>
      </c>
      <c r="C140" s="26">
        <f>_xll.StatMean(B134:B139)</f>
        <v>2531.3333333333335</v>
      </c>
      <c r="D140" s="26">
        <f t="shared" si="0"/>
        <v>96.666666666666515</v>
      </c>
    </row>
    <row r="141" spans="1:4" ht="12.75" customHeight="1" x14ac:dyDescent="0.25">
      <c r="A141" s="23" t="s">
        <v>135</v>
      </c>
      <c r="B141" s="26">
        <f xml:space="preserve"> 2662</f>
        <v>2662</v>
      </c>
      <c r="C141" s="26">
        <f>_xll.StatMean(B135:B140)</f>
        <v>2560.6666666666665</v>
      </c>
      <c r="D141" s="26">
        <f t="shared" si="0"/>
        <v>101.33333333333348</v>
      </c>
    </row>
    <row r="142" spans="1:4" ht="12.75" customHeight="1" x14ac:dyDescent="0.25">
      <c r="A142" s="27" t="s">
        <v>136</v>
      </c>
      <c r="B142" s="28">
        <f xml:space="preserve"> 2696</f>
        <v>2696</v>
      </c>
      <c r="C142" s="28">
        <f>_xll.StatMean(B136:B141)</f>
        <v>2590</v>
      </c>
      <c r="D142" s="28">
        <f t="shared" si="0"/>
        <v>106</v>
      </c>
    </row>
    <row r="143" spans="1:4" ht="12.75" customHeight="1" x14ac:dyDescent="0.25">
      <c r="A143" s="23" t="s">
        <v>137</v>
      </c>
      <c r="B143" s="26"/>
      <c r="C143" s="26">
        <f>_xll.StatMean(B137:B142)</f>
        <v>2619</v>
      </c>
      <c r="D143" s="26"/>
    </row>
    <row r="144" spans="1:4" ht="12.75" customHeight="1" x14ac:dyDescent="0.25">
      <c r="A144" s="23" t="s">
        <v>138</v>
      </c>
      <c r="B144" s="26"/>
      <c r="C144" s="26">
        <f>_xll.StatMean(B138:B142,C143)</f>
        <v>2631</v>
      </c>
      <c r="D144" s="26"/>
    </row>
    <row r="145" spans="1:4" ht="12.75" customHeight="1" x14ac:dyDescent="0.25">
      <c r="A145" s="23" t="s">
        <v>139</v>
      </c>
      <c r="B145" s="26"/>
      <c r="C145" s="26">
        <f>_xll.StatMean(B139:B142,C143:C144)</f>
        <v>2641.1666666666665</v>
      </c>
      <c r="D145" s="26"/>
    </row>
    <row r="146" spans="1:4" ht="12.75" customHeight="1" x14ac:dyDescent="0.25">
      <c r="A146" s="23" t="s">
        <v>140</v>
      </c>
      <c r="B146" s="26"/>
      <c r="C146" s="26">
        <f>_xll.StatMean(B140:B142,C143:C145)</f>
        <v>2646.1944444444443</v>
      </c>
      <c r="D146" s="26"/>
    </row>
    <row r="147" spans="1:4" ht="12.75" customHeight="1" x14ac:dyDescent="0.25">
      <c r="A147" s="23" t="s">
        <v>141</v>
      </c>
      <c r="B147" s="26"/>
      <c r="C147" s="26">
        <f>_xll.StatMean(B141:B142,C143:C146)</f>
        <v>2649.2268518518517</v>
      </c>
      <c r="D147" s="26"/>
    </row>
    <row r="148" spans="1:4" ht="12.75" customHeight="1" x14ac:dyDescent="0.25">
      <c r="A148" s="23" t="s">
        <v>142</v>
      </c>
      <c r="B148" s="26"/>
      <c r="C148" s="26">
        <f>_xll.StatMean(B142,C143:C147)</f>
        <v>2647.0979938271603</v>
      </c>
      <c r="D148" s="26"/>
    </row>
    <row r="149" spans="1:4" ht="12.75" customHeight="1" x14ac:dyDescent="0.25">
      <c r="A149" s="23" t="s">
        <v>143</v>
      </c>
      <c r="B149" s="26"/>
      <c r="C149" s="26">
        <f>_xll.StatMean(C143:C148)</f>
        <v>2638.9476594650205</v>
      </c>
      <c r="D149" s="26"/>
    </row>
    <row r="150" spans="1:4" ht="12.75" customHeight="1" x14ac:dyDescent="0.25">
      <c r="A150" s="23" t="s">
        <v>144</v>
      </c>
      <c r="B150" s="26"/>
      <c r="C150" s="26">
        <f>_xll.StatMean(C144:C149)</f>
        <v>2642.2722693758574</v>
      </c>
      <c r="D150" s="26"/>
    </row>
    <row r="151" spans="1:4" ht="12.75" customHeight="1" x14ac:dyDescent="0.25">
      <c r="A151" s="23" t="s">
        <v>145</v>
      </c>
      <c r="B151" s="26"/>
      <c r="C151" s="26">
        <f>_xll.StatMean(C145:C150)</f>
        <v>2644.1509809385002</v>
      </c>
      <c r="D151" s="26"/>
    </row>
    <row r="152" spans="1:4" ht="12.75" customHeight="1" x14ac:dyDescent="0.25">
      <c r="A152" s="23" t="s">
        <v>146</v>
      </c>
      <c r="B152" s="26"/>
      <c r="C152" s="26">
        <f>_xll.StatMean(C146:C151)</f>
        <v>2644.6483666504723</v>
      </c>
      <c r="D152" s="26"/>
    </row>
    <row r="153" spans="1:4" ht="12.75" customHeight="1" x14ac:dyDescent="0.25">
      <c r="A153" s="23" t="s">
        <v>147</v>
      </c>
      <c r="B153" s="26"/>
      <c r="C153" s="26">
        <f>_xll.StatMean(C147:C152)</f>
        <v>2644.3906870181436</v>
      </c>
      <c r="D153" s="26"/>
    </row>
    <row r="154" spans="1:4" ht="12.75" customHeight="1" x14ac:dyDescent="0.25">
      <c r="A154" s="23" t="s">
        <v>148</v>
      </c>
      <c r="B154" s="26"/>
      <c r="C154" s="26">
        <f>_xll.StatMean(C148:C153)</f>
        <v>2643.5846595458593</v>
      </c>
      <c r="D154" s="26"/>
    </row>
  </sheetData>
  <phoneticPr fontId="1" type="noConversion"/>
  <pageMargins left="0.75" right="0.75" top="1" bottom="1" header="0.5" footer="0.5"/>
  <pageSetup orientation="portrait" blackAndWhite="1" horizontalDpi="300" verticalDpi="300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54"/>
  <sheetViews>
    <sheetView showGridLines="0" workbookViewId="0"/>
  </sheetViews>
  <sheetFormatPr defaultColWidth="12.7109375" defaultRowHeight="15" x14ac:dyDescent="0.25"/>
  <cols>
    <col min="1" max="1" width="18.5703125" style="1" bestFit="1" customWidth="1"/>
    <col min="2" max="2" width="18.140625" style="1" bestFit="1" customWidth="1"/>
    <col min="3" max="4" width="12.7109375" style="1" customWidth="1"/>
    <col min="5" max="16384" width="12.7109375" style="1"/>
  </cols>
  <sheetData>
    <row r="1" spans="1:2" s="4" customFormat="1" ht="18" x14ac:dyDescent="0.25">
      <c r="A1" s="15" t="s">
        <v>41</v>
      </c>
      <c r="B1" s="18" t="s">
        <v>42</v>
      </c>
    </row>
    <row r="2" spans="1:2" s="4" customFormat="1" x14ac:dyDescent="0.25">
      <c r="A2" s="16" t="s">
        <v>43</v>
      </c>
      <c r="B2" s="18" t="s">
        <v>49</v>
      </c>
    </row>
    <row r="3" spans="1:2" s="4" customFormat="1" x14ac:dyDescent="0.25">
      <c r="A3" s="16" t="s">
        <v>45</v>
      </c>
      <c r="B3" s="18" t="s">
        <v>75</v>
      </c>
    </row>
    <row r="4" spans="1:2" s="4" customFormat="1" x14ac:dyDescent="0.25">
      <c r="A4" s="16" t="s">
        <v>46</v>
      </c>
      <c r="B4" s="18" t="s">
        <v>76</v>
      </c>
    </row>
    <row r="5" spans="1:2" s="5" customFormat="1" x14ac:dyDescent="0.25">
      <c r="A5" s="17" t="s">
        <v>47</v>
      </c>
      <c r="B5" s="19" t="s">
        <v>48</v>
      </c>
    </row>
    <row r="7" spans="1:2" ht="12.75" customHeight="1" x14ac:dyDescent="0.25">
      <c r="A7" s="24"/>
      <c r="B7" s="21"/>
    </row>
    <row r="8" spans="1:2" ht="12.75" customHeight="1" thickBot="1" x14ac:dyDescent="0.3">
      <c r="A8" s="25" t="s">
        <v>50</v>
      </c>
      <c r="B8" s="22"/>
    </row>
    <row r="9" spans="1:2" ht="12.75" customHeight="1" thickTop="1" x14ac:dyDescent="0.25">
      <c r="A9" s="23" t="s">
        <v>53</v>
      </c>
      <c r="B9" s="20">
        <v>12</v>
      </c>
    </row>
    <row r="10" spans="1:2" ht="12.75" customHeight="1" x14ac:dyDescent="0.25"/>
    <row r="11" spans="1:2" ht="12.75" customHeight="1" x14ac:dyDescent="0.25">
      <c r="A11" s="24"/>
      <c r="B11" s="21"/>
    </row>
    <row r="12" spans="1:2" ht="12.75" customHeight="1" thickBot="1" x14ac:dyDescent="0.3">
      <c r="A12" s="25" t="s">
        <v>51</v>
      </c>
      <c r="B12" s="22"/>
    </row>
    <row r="13" spans="1:2" ht="12.75" customHeight="1" thickTop="1" x14ac:dyDescent="0.25">
      <c r="A13" s="23" t="s">
        <v>54</v>
      </c>
      <c r="B13" s="26">
        <f>_xll.StatMeanAbs(D95:D142)</f>
        <v>182.68402777777774</v>
      </c>
    </row>
    <row r="14" spans="1:2" ht="12.75" customHeight="1" x14ac:dyDescent="0.25">
      <c r="A14" s="23" t="s">
        <v>55</v>
      </c>
      <c r="B14" s="26">
        <f>SQRT(SUMSQ(D95:D142)/_xll.StatCount(D95:D142))</f>
        <v>183.42698838896212</v>
      </c>
    </row>
    <row r="15" spans="1:2" ht="12.75" customHeight="1" x14ac:dyDescent="0.25">
      <c r="A15" s="23" t="s">
        <v>56</v>
      </c>
      <c r="B15" s="29">
        <f>_xll.StatPairMeanAbsQuotient(D95:D142,B95:B142)</f>
        <v>9.3820106064257128E-2</v>
      </c>
    </row>
    <row r="16" spans="1:2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spans="1:4" ht="12.75" customHeight="1" x14ac:dyDescent="0.25">
      <c r="A81" s="24"/>
      <c r="B81" s="21"/>
      <c r="C81" s="21"/>
      <c r="D81" s="21"/>
    </row>
    <row r="82" spans="1:4" ht="12.75" customHeight="1" thickBot="1" x14ac:dyDescent="0.3">
      <c r="A82" s="25" t="s">
        <v>52</v>
      </c>
      <c r="B82" s="22" t="s">
        <v>1</v>
      </c>
      <c r="C82" s="22" t="s">
        <v>49</v>
      </c>
      <c r="D82" s="22" t="s">
        <v>57</v>
      </c>
    </row>
    <row r="83" spans="1:4" ht="12.75" customHeight="1" thickTop="1" x14ac:dyDescent="0.25">
      <c r="A83" s="23" t="s">
        <v>77</v>
      </c>
      <c r="B83" s="26">
        <f xml:space="preserve"> 1000</f>
        <v>1000</v>
      </c>
      <c r="C83" s="26"/>
      <c r="D83" s="26"/>
    </row>
    <row r="84" spans="1:4" ht="12.75" customHeight="1" x14ac:dyDescent="0.25">
      <c r="A84" s="23" t="s">
        <v>78</v>
      </c>
      <c r="B84" s="26">
        <f xml:space="preserve"> 1025</f>
        <v>1025</v>
      </c>
      <c r="C84" s="26"/>
      <c r="D84" s="26"/>
    </row>
    <row r="85" spans="1:4" ht="12.75" customHeight="1" x14ac:dyDescent="0.25">
      <c r="A85" s="23" t="s">
        <v>79</v>
      </c>
      <c r="B85" s="26">
        <f xml:space="preserve"> 1066</f>
        <v>1066</v>
      </c>
      <c r="C85" s="26"/>
      <c r="D85" s="26"/>
    </row>
    <row r="86" spans="1:4" ht="12.75" customHeight="1" x14ac:dyDescent="0.25">
      <c r="A86" s="23" t="s">
        <v>80</v>
      </c>
      <c r="B86" s="26">
        <f xml:space="preserve"> 1107</f>
        <v>1107</v>
      </c>
      <c r="C86" s="26"/>
      <c r="D86" s="26"/>
    </row>
    <row r="87" spans="1:4" ht="12.75" customHeight="1" x14ac:dyDescent="0.25">
      <c r="A87" s="23" t="s">
        <v>81</v>
      </c>
      <c r="B87" s="26">
        <f xml:space="preserve"> 1148</f>
        <v>1148</v>
      </c>
      <c r="C87" s="26"/>
      <c r="D87" s="26"/>
    </row>
    <row r="88" spans="1:4" ht="12.75" customHeight="1" x14ac:dyDescent="0.25">
      <c r="A88" s="23" t="s">
        <v>82</v>
      </c>
      <c r="B88" s="26">
        <f xml:space="preserve"> 1172</f>
        <v>1172</v>
      </c>
      <c r="C88" s="26"/>
      <c r="D88" s="26"/>
    </row>
    <row r="89" spans="1:4" ht="12.75" customHeight="1" x14ac:dyDescent="0.25">
      <c r="A89" s="23" t="s">
        <v>83</v>
      </c>
      <c r="B89" s="26">
        <f xml:space="preserve"> 1200</f>
        <v>1200</v>
      </c>
      <c r="C89" s="26"/>
      <c r="D89" s="26"/>
    </row>
    <row r="90" spans="1:4" ht="12.75" customHeight="1" x14ac:dyDescent="0.25">
      <c r="A90" s="23" t="s">
        <v>84</v>
      </c>
      <c r="B90" s="26">
        <f xml:space="preserve"> 1229</f>
        <v>1229</v>
      </c>
      <c r="C90" s="26"/>
      <c r="D90" s="26"/>
    </row>
    <row r="91" spans="1:4" ht="12.75" customHeight="1" x14ac:dyDescent="0.25">
      <c r="A91" s="23" t="s">
        <v>85</v>
      </c>
      <c r="B91" s="26">
        <f xml:space="preserve"> 1251</f>
        <v>1251</v>
      </c>
      <c r="C91" s="26"/>
      <c r="D91" s="26"/>
    </row>
    <row r="92" spans="1:4" ht="12.75" customHeight="1" x14ac:dyDescent="0.25">
      <c r="A92" s="23" t="s">
        <v>86</v>
      </c>
      <c r="B92" s="26">
        <f xml:space="preserve"> 1279</f>
        <v>1279</v>
      </c>
      <c r="C92" s="26"/>
      <c r="D92" s="26"/>
    </row>
    <row r="93" spans="1:4" ht="12.75" customHeight="1" x14ac:dyDescent="0.25">
      <c r="A93" s="23" t="s">
        <v>87</v>
      </c>
      <c r="B93" s="26">
        <f xml:space="preserve"> 1317</f>
        <v>1317</v>
      </c>
      <c r="C93" s="26"/>
      <c r="D93" s="26"/>
    </row>
    <row r="94" spans="1:4" ht="12.75" customHeight="1" x14ac:dyDescent="0.25">
      <c r="A94" s="23" t="s">
        <v>88</v>
      </c>
      <c r="B94" s="26">
        <f xml:space="preserve"> 1336</f>
        <v>1336</v>
      </c>
      <c r="C94" s="26"/>
      <c r="D94" s="26"/>
    </row>
    <row r="95" spans="1:4" ht="12.75" customHeight="1" x14ac:dyDescent="0.25">
      <c r="A95" s="23" t="s">
        <v>89</v>
      </c>
      <c r="B95" s="26">
        <f xml:space="preserve"> 1368</f>
        <v>1368</v>
      </c>
      <c r="C95" s="26">
        <f>_xll.StatMean(B83:B94)</f>
        <v>1177.5</v>
      </c>
      <c r="D95" s="26">
        <f>B95-C95</f>
        <v>190.5</v>
      </c>
    </row>
    <row r="96" spans="1:4" ht="12.75" customHeight="1" x14ac:dyDescent="0.25">
      <c r="A96" s="23" t="s">
        <v>90</v>
      </c>
      <c r="B96" s="26">
        <f xml:space="preserve"> 1380</f>
        <v>1380</v>
      </c>
      <c r="C96" s="26">
        <f>_xll.StatMean(B84:B95)</f>
        <v>1208.1666666666667</v>
      </c>
      <c r="D96" s="26">
        <f t="shared" ref="D96:D142" si="0">B96-C96</f>
        <v>171.83333333333326</v>
      </c>
    </row>
    <row r="97" spans="1:4" ht="12.75" customHeight="1" x14ac:dyDescent="0.25">
      <c r="A97" s="23" t="s">
        <v>91</v>
      </c>
      <c r="B97" s="26">
        <f xml:space="preserve"> 1406</f>
        <v>1406</v>
      </c>
      <c r="C97" s="26">
        <f>_xll.StatMean(B85:B96)</f>
        <v>1237.75</v>
      </c>
      <c r="D97" s="26">
        <f t="shared" si="0"/>
        <v>168.25</v>
      </c>
    </row>
    <row r="98" spans="1:4" ht="12.75" customHeight="1" x14ac:dyDescent="0.25">
      <c r="A98" s="23" t="s">
        <v>92</v>
      </c>
      <c r="B98" s="26">
        <f xml:space="preserve"> 1439</f>
        <v>1439</v>
      </c>
      <c r="C98" s="26">
        <f>_xll.StatMean(B86:B97)</f>
        <v>1266.0833333333333</v>
      </c>
      <c r="D98" s="26">
        <f t="shared" si="0"/>
        <v>172.91666666666674</v>
      </c>
    </row>
    <row r="99" spans="1:4" ht="12.75" customHeight="1" x14ac:dyDescent="0.25">
      <c r="A99" s="23" t="s">
        <v>93</v>
      </c>
      <c r="B99" s="26">
        <f xml:space="preserve"> 1474</f>
        <v>1474</v>
      </c>
      <c r="C99" s="26">
        <f>_xll.StatMean(B87:B98)</f>
        <v>1293.75</v>
      </c>
      <c r="D99" s="26">
        <f t="shared" si="0"/>
        <v>180.25</v>
      </c>
    </row>
    <row r="100" spans="1:4" ht="12.75" customHeight="1" x14ac:dyDescent="0.25">
      <c r="A100" s="23" t="s">
        <v>94</v>
      </c>
      <c r="B100" s="26">
        <f xml:space="preserve"> 1499</f>
        <v>1499</v>
      </c>
      <c r="C100" s="26">
        <f>_xll.StatMean(B88:B99)</f>
        <v>1320.9166666666667</v>
      </c>
      <c r="D100" s="26">
        <f t="shared" si="0"/>
        <v>178.08333333333326</v>
      </c>
    </row>
    <row r="101" spans="1:4" ht="12.75" customHeight="1" x14ac:dyDescent="0.25">
      <c r="A101" s="23" t="s">
        <v>95</v>
      </c>
      <c r="B101" s="26">
        <f xml:space="preserve"> 1528</f>
        <v>1528</v>
      </c>
      <c r="C101" s="26">
        <f>_xll.StatMean(B89:B100)</f>
        <v>1348.1666666666667</v>
      </c>
      <c r="D101" s="26">
        <f t="shared" si="0"/>
        <v>179.83333333333326</v>
      </c>
    </row>
    <row r="102" spans="1:4" ht="12.75" customHeight="1" x14ac:dyDescent="0.25">
      <c r="A102" s="23" t="s">
        <v>96</v>
      </c>
      <c r="B102" s="26">
        <f xml:space="preserve"> 1541</f>
        <v>1541</v>
      </c>
      <c r="C102" s="26">
        <f>_xll.StatMean(B90:B101)</f>
        <v>1375.5</v>
      </c>
      <c r="D102" s="26">
        <f t="shared" si="0"/>
        <v>165.5</v>
      </c>
    </row>
    <row r="103" spans="1:4" ht="12.75" customHeight="1" x14ac:dyDescent="0.25">
      <c r="A103" s="23" t="s">
        <v>97</v>
      </c>
      <c r="B103" s="26">
        <f xml:space="preserve"> 1570</f>
        <v>1570</v>
      </c>
      <c r="C103" s="26">
        <f>_xll.StatMean(B91:B102)</f>
        <v>1401.5</v>
      </c>
      <c r="D103" s="26">
        <f t="shared" si="0"/>
        <v>168.5</v>
      </c>
    </row>
    <row r="104" spans="1:4" ht="12.75" customHeight="1" x14ac:dyDescent="0.25">
      <c r="A104" s="23" t="s">
        <v>98</v>
      </c>
      <c r="B104" s="26">
        <f xml:space="preserve"> 1608</f>
        <v>1608</v>
      </c>
      <c r="C104" s="26">
        <f>_xll.StatMean(B92:B103)</f>
        <v>1428.0833333333333</v>
      </c>
      <c r="D104" s="26">
        <f t="shared" si="0"/>
        <v>179.91666666666674</v>
      </c>
    </row>
    <row r="105" spans="1:4" ht="12.75" customHeight="1" x14ac:dyDescent="0.25">
      <c r="A105" s="23" t="s">
        <v>99</v>
      </c>
      <c r="B105" s="26">
        <f xml:space="preserve"> 1632</f>
        <v>1632</v>
      </c>
      <c r="C105" s="26">
        <f>_xll.StatMean(B93:B104)</f>
        <v>1455.5</v>
      </c>
      <c r="D105" s="26">
        <f t="shared" si="0"/>
        <v>176.5</v>
      </c>
    </row>
    <row r="106" spans="1:4" ht="12.75" customHeight="1" x14ac:dyDescent="0.25">
      <c r="A106" s="23" t="s">
        <v>100</v>
      </c>
      <c r="B106" s="26">
        <f xml:space="preserve"> 1661</f>
        <v>1661</v>
      </c>
      <c r="C106" s="26">
        <f>_xll.StatMean(B94:B105)</f>
        <v>1481.75</v>
      </c>
      <c r="D106" s="26">
        <f t="shared" si="0"/>
        <v>179.25</v>
      </c>
    </row>
    <row r="107" spans="1:4" ht="12.75" customHeight="1" x14ac:dyDescent="0.25">
      <c r="A107" s="23" t="s">
        <v>101</v>
      </c>
      <c r="B107" s="26">
        <f xml:space="preserve"> 1701</f>
        <v>1701</v>
      </c>
      <c r="C107" s="26">
        <f>_xll.StatMean(B95:B106)</f>
        <v>1508.8333333333333</v>
      </c>
      <c r="D107" s="26">
        <f t="shared" si="0"/>
        <v>192.16666666666674</v>
      </c>
    </row>
    <row r="108" spans="1:4" ht="12.75" customHeight="1" x14ac:dyDescent="0.25">
      <c r="A108" s="23" t="s">
        <v>102</v>
      </c>
      <c r="B108" s="26">
        <f xml:space="preserve"> 1732</f>
        <v>1732</v>
      </c>
      <c r="C108" s="26">
        <f>_xll.StatMean(B96:B107)</f>
        <v>1536.5833333333333</v>
      </c>
      <c r="D108" s="26">
        <f t="shared" si="0"/>
        <v>195.41666666666674</v>
      </c>
    </row>
    <row r="109" spans="1:4" ht="12.75" customHeight="1" x14ac:dyDescent="0.25">
      <c r="A109" s="23" t="s">
        <v>103</v>
      </c>
      <c r="B109" s="26">
        <f xml:space="preserve"> 1758</f>
        <v>1758</v>
      </c>
      <c r="C109" s="26">
        <f>_xll.StatMean(B97:B108)</f>
        <v>1565.9166666666667</v>
      </c>
      <c r="D109" s="26">
        <f t="shared" si="0"/>
        <v>192.08333333333326</v>
      </c>
    </row>
    <row r="110" spans="1:4" ht="12.75" customHeight="1" x14ac:dyDescent="0.25">
      <c r="A110" s="23" t="s">
        <v>104</v>
      </c>
      <c r="B110" s="26">
        <f xml:space="preserve"> 1774</f>
        <v>1774</v>
      </c>
      <c r="C110" s="26">
        <f>_xll.StatMean(B98:B109)</f>
        <v>1595.25</v>
      </c>
      <c r="D110" s="26">
        <f t="shared" si="0"/>
        <v>178.75</v>
      </c>
    </row>
    <row r="111" spans="1:4" ht="12.75" customHeight="1" x14ac:dyDescent="0.25">
      <c r="A111" s="23" t="s">
        <v>105</v>
      </c>
      <c r="B111" s="26">
        <f xml:space="preserve"> 1808</f>
        <v>1808</v>
      </c>
      <c r="C111" s="26">
        <f>_xll.StatMean(B99:B110)</f>
        <v>1623.1666666666667</v>
      </c>
      <c r="D111" s="26">
        <f t="shared" si="0"/>
        <v>184.83333333333326</v>
      </c>
    </row>
    <row r="112" spans="1:4" ht="12.75" customHeight="1" x14ac:dyDescent="0.25">
      <c r="A112" s="23" t="s">
        <v>106</v>
      </c>
      <c r="B112" s="26">
        <f xml:space="preserve"> 1827</f>
        <v>1827</v>
      </c>
      <c r="C112" s="26">
        <f>_xll.StatMean(B100:B111)</f>
        <v>1651</v>
      </c>
      <c r="D112" s="26">
        <f t="shared" si="0"/>
        <v>176</v>
      </c>
    </row>
    <row r="113" spans="1:4" ht="12.75" customHeight="1" x14ac:dyDescent="0.25">
      <c r="A113" s="23" t="s">
        <v>107</v>
      </c>
      <c r="B113" s="26">
        <f xml:space="preserve"> 1844</f>
        <v>1844</v>
      </c>
      <c r="C113" s="26">
        <f>_xll.StatMean(B101:B112)</f>
        <v>1678.3333333333333</v>
      </c>
      <c r="D113" s="26">
        <f t="shared" si="0"/>
        <v>165.66666666666674</v>
      </c>
    </row>
    <row r="114" spans="1:4" ht="12.75" customHeight="1" x14ac:dyDescent="0.25">
      <c r="A114" s="23" t="s">
        <v>108</v>
      </c>
      <c r="B114" s="26">
        <f xml:space="preserve"> 1871</f>
        <v>1871</v>
      </c>
      <c r="C114" s="26">
        <f>_xll.StatMean(B102:B113)</f>
        <v>1704.6666666666667</v>
      </c>
      <c r="D114" s="26">
        <f t="shared" si="0"/>
        <v>166.33333333333326</v>
      </c>
    </row>
    <row r="115" spans="1:4" ht="12.75" customHeight="1" x14ac:dyDescent="0.25">
      <c r="A115" s="23" t="s">
        <v>109</v>
      </c>
      <c r="B115" s="26">
        <f xml:space="preserve"> 1898</f>
        <v>1898</v>
      </c>
      <c r="C115" s="26">
        <f>_xll.StatMean(B103:B114)</f>
        <v>1732.1666666666667</v>
      </c>
      <c r="D115" s="26">
        <f t="shared" si="0"/>
        <v>165.83333333333326</v>
      </c>
    </row>
    <row r="116" spans="1:4" ht="12.75" customHeight="1" x14ac:dyDescent="0.25">
      <c r="A116" s="23" t="s">
        <v>110</v>
      </c>
      <c r="B116" s="26">
        <f xml:space="preserve"> 1908</f>
        <v>1908</v>
      </c>
      <c r="C116" s="26">
        <f>_xll.StatMean(B104:B115)</f>
        <v>1759.5</v>
      </c>
      <c r="D116" s="26">
        <f t="shared" si="0"/>
        <v>148.5</v>
      </c>
    </row>
    <row r="117" spans="1:4" ht="12.75" customHeight="1" x14ac:dyDescent="0.25">
      <c r="A117" s="23" t="s">
        <v>111</v>
      </c>
      <c r="B117" s="26">
        <f xml:space="preserve"> 1934</f>
        <v>1934</v>
      </c>
      <c r="C117" s="26">
        <f>_xll.StatMean(B105:B116)</f>
        <v>1784.5</v>
      </c>
      <c r="D117" s="26">
        <f t="shared" si="0"/>
        <v>149.5</v>
      </c>
    </row>
    <row r="118" spans="1:4" ht="12.75" customHeight="1" x14ac:dyDescent="0.25">
      <c r="A118" s="23" t="s">
        <v>112</v>
      </c>
      <c r="B118" s="26">
        <f xml:space="preserve"> 1968</f>
        <v>1968</v>
      </c>
      <c r="C118" s="26">
        <f>_xll.StatMean(B106:B117)</f>
        <v>1809.6666666666667</v>
      </c>
      <c r="D118" s="26">
        <f t="shared" si="0"/>
        <v>158.33333333333326</v>
      </c>
    </row>
    <row r="119" spans="1:4" ht="12.75" customHeight="1" x14ac:dyDescent="0.25">
      <c r="A119" s="23" t="s">
        <v>113</v>
      </c>
      <c r="B119" s="26">
        <f xml:space="preserve"> 1986</f>
        <v>1986</v>
      </c>
      <c r="C119" s="26">
        <f>_xll.StatMean(B107:B118)</f>
        <v>1835.25</v>
      </c>
      <c r="D119" s="26">
        <f t="shared" si="0"/>
        <v>150.75</v>
      </c>
    </row>
    <row r="120" spans="1:4" ht="12.75" customHeight="1" x14ac:dyDescent="0.25">
      <c r="A120" s="23" t="s">
        <v>114</v>
      </c>
      <c r="B120" s="26">
        <f xml:space="preserve"> 2021</f>
        <v>2021</v>
      </c>
      <c r="C120" s="26">
        <f>_xll.StatMean(B108:B119)</f>
        <v>1859</v>
      </c>
      <c r="D120" s="26">
        <f t="shared" si="0"/>
        <v>162</v>
      </c>
    </row>
    <row r="121" spans="1:4" ht="12.75" customHeight="1" x14ac:dyDescent="0.25">
      <c r="A121" s="23" t="s">
        <v>115</v>
      </c>
      <c r="B121" s="26">
        <f xml:space="preserve"> 2056</f>
        <v>2056</v>
      </c>
      <c r="C121" s="26">
        <f>_xll.StatMean(B109:B120)</f>
        <v>1883.0833333333333</v>
      </c>
      <c r="D121" s="26">
        <f t="shared" si="0"/>
        <v>172.91666666666674</v>
      </c>
    </row>
    <row r="122" spans="1:4" ht="12.75" customHeight="1" x14ac:dyDescent="0.25">
      <c r="A122" s="23" t="s">
        <v>116</v>
      </c>
      <c r="B122" s="26">
        <f xml:space="preserve"> 2095</f>
        <v>2095</v>
      </c>
      <c r="C122" s="26">
        <f>_xll.StatMean(B110:B121)</f>
        <v>1907.9166666666667</v>
      </c>
      <c r="D122" s="26">
        <f t="shared" si="0"/>
        <v>187.08333333333326</v>
      </c>
    </row>
    <row r="123" spans="1:4" ht="12.75" customHeight="1" x14ac:dyDescent="0.25">
      <c r="A123" s="23" t="s">
        <v>117</v>
      </c>
      <c r="B123" s="26">
        <f xml:space="preserve"> 2122</f>
        <v>2122</v>
      </c>
      <c r="C123" s="26">
        <f>_xll.StatMean(B111:B122)</f>
        <v>1934.6666666666667</v>
      </c>
      <c r="D123" s="26">
        <f t="shared" si="0"/>
        <v>187.33333333333326</v>
      </c>
    </row>
    <row r="124" spans="1:4" ht="12.75" customHeight="1" x14ac:dyDescent="0.25">
      <c r="A124" s="23" t="s">
        <v>118</v>
      </c>
      <c r="B124" s="26">
        <f xml:space="preserve"> 2143</f>
        <v>2143</v>
      </c>
      <c r="C124" s="26">
        <f>_xll.StatMean(B112:B123)</f>
        <v>1960.8333333333333</v>
      </c>
      <c r="D124" s="26">
        <f t="shared" si="0"/>
        <v>182.16666666666674</v>
      </c>
    </row>
    <row r="125" spans="1:4" ht="12.75" customHeight="1" x14ac:dyDescent="0.25">
      <c r="A125" s="23" t="s">
        <v>119</v>
      </c>
      <c r="B125" s="26">
        <f xml:space="preserve"> 2168</f>
        <v>2168</v>
      </c>
      <c r="C125" s="26">
        <f>_xll.StatMean(B113:B124)</f>
        <v>1987.1666666666667</v>
      </c>
      <c r="D125" s="26">
        <f t="shared" si="0"/>
        <v>180.83333333333326</v>
      </c>
    </row>
    <row r="126" spans="1:4" ht="12.75" customHeight="1" x14ac:dyDescent="0.25">
      <c r="A126" s="23" t="s">
        <v>120</v>
      </c>
      <c r="B126" s="26">
        <f xml:space="preserve"> 2207</f>
        <v>2207</v>
      </c>
      <c r="C126" s="26">
        <f>_xll.StatMean(B114:B125)</f>
        <v>2014.1666666666667</v>
      </c>
      <c r="D126" s="26">
        <f t="shared" si="0"/>
        <v>192.83333333333326</v>
      </c>
    </row>
    <row r="127" spans="1:4" ht="12.75" customHeight="1" x14ac:dyDescent="0.25">
      <c r="A127" s="23" t="s">
        <v>121</v>
      </c>
      <c r="B127" s="26">
        <f xml:space="preserve"> 2226</f>
        <v>2226</v>
      </c>
      <c r="C127" s="26">
        <f>_xll.StatMean(B115:B126)</f>
        <v>2042.1666666666667</v>
      </c>
      <c r="D127" s="26">
        <f t="shared" si="0"/>
        <v>183.83333333333326</v>
      </c>
    </row>
    <row r="128" spans="1:4" ht="12.75" customHeight="1" x14ac:dyDescent="0.25">
      <c r="A128" s="23" t="s">
        <v>122</v>
      </c>
      <c r="B128" s="26">
        <f xml:space="preserve"> 2255</f>
        <v>2255</v>
      </c>
      <c r="C128" s="26">
        <f>_xll.StatMean(B116:B127)</f>
        <v>2069.5</v>
      </c>
      <c r="D128" s="26">
        <f t="shared" si="0"/>
        <v>185.5</v>
      </c>
    </row>
    <row r="129" spans="1:4" ht="12.75" customHeight="1" x14ac:dyDescent="0.25">
      <c r="A129" s="23" t="s">
        <v>123</v>
      </c>
      <c r="B129" s="26">
        <f xml:space="preserve"> 2283</f>
        <v>2283</v>
      </c>
      <c r="C129" s="26">
        <f>_xll.StatMean(B117:B128)</f>
        <v>2098.4166666666665</v>
      </c>
      <c r="D129" s="26">
        <f t="shared" si="0"/>
        <v>184.58333333333348</v>
      </c>
    </row>
    <row r="130" spans="1:4" ht="12.75" customHeight="1" x14ac:dyDescent="0.25">
      <c r="A130" s="23" t="s">
        <v>124</v>
      </c>
      <c r="B130" s="26">
        <f xml:space="preserve"> 2309</f>
        <v>2309</v>
      </c>
      <c r="C130" s="26">
        <f>_xll.StatMean(B118:B129)</f>
        <v>2127.5</v>
      </c>
      <c r="D130" s="26">
        <f t="shared" si="0"/>
        <v>181.5</v>
      </c>
    </row>
    <row r="131" spans="1:4" ht="12.75" customHeight="1" x14ac:dyDescent="0.25">
      <c r="A131" s="23" t="s">
        <v>125</v>
      </c>
      <c r="B131" s="26">
        <f xml:space="preserve"> 2338</f>
        <v>2338</v>
      </c>
      <c r="C131" s="26">
        <f>_xll.StatMean(B119:B130)</f>
        <v>2155.9166666666665</v>
      </c>
      <c r="D131" s="26">
        <f t="shared" si="0"/>
        <v>182.08333333333348</v>
      </c>
    </row>
    <row r="132" spans="1:4" ht="12.75" customHeight="1" x14ac:dyDescent="0.25">
      <c r="A132" s="23" t="s">
        <v>126</v>
      </c>
      <c r="B132" s="26">
        <f xml:space="preserve"> 2382</f>
        <v>2382</v>
      </c>
      <c r="C132" s="26">
        <f>_xll.StatMean(B120:B131)</f>
        <v>2185.25</v>
      </c>
      <c r="D132" s="26">
        <f t="shared" si="0"/>
        <v>196.75</v>
      </c>
    </row>
    <row r="133" spans="1:4" ht="12.75" customHeight="1" x14ac:dyDescent="0.25">
      <c r="A133" s="23" t="s">
        <v>127</v>
      </c>
      <c r="B133" s="26">
        <f xml:space="preserve"> 2400</f>
        <v>2400</v>
      </c>
      <c r="C133" s="26">
        <f>_xll.StatMean(B121:B132)</f>
        <v>2215.3333333333335</v>
      </c>
      <c r="D133" s="26">
        <f t="shared" si="0"/>
        <v>184.66666666666652</v>
      </c>
    </row>
    <row r="134" spans="1:4" ht="12.75" customHeight="1" x14ac:dyDescent="0.25">
      <c r="A134" s="23" t="s">
        <v>128</v>
      </c>
      <c r="B134" s="26">
        <f xml:space="preserve"> 2452</f>
        <v>2452</v>
      </c>
      <c r="C134" s="26">
        <f>_xll.StatMean(B122:B133)</f>
        <v>2244</v>
      </c>
      <c r="D134" s="26">
        <f t="shared" si="0"/>
        <v>208</v>
      </c>
    </row>
    <row r="135" spans="1:4" ht="12.75" customHeight="1" x14ac:dyDescent="0.25">
      <c r="A135" s="23" t="s">
        <v>129</v>
      </c>
      <c r="B135" s="26">
        <f xml:space="preserve"> 2486</f>
        <v>2486</v>
      </c>
      <c r="C135" s="26">
        <f>_xll.StatMean(B123:B134)</f>
        <v>2273.75</v>
      </c>
      <c r="D135" s="26">
        <f t="shared" si="0"/>
        <v>212.25</v>
      </c>
    </row>
    <row r="136" spans="1:4" ht="12.75" customHeight="1" x14ac:dyDescent="0.25">
      <c r="A136" s="23" t="s">
        <v>130</v>
      </c>
      <c r="B136" s="26">
        <f xml:space="preserve"> 2522</f>
        <v>2522</v>
      </c>
      <c r="C136" s="26">
        <f>_xll.StatMean(B124:B135)</f>
        <v>2304.0833333333335</v>
      </c>
      <c r="D136" s="26">
        <f t="shared" si="0"/>
        <v>217.91666666666652</v>
      </c>
    </row>
    <row r="137" spans="1:4" ht="12.75" customHeight="1" x14ac:dyDescent="0.25">
      <c r="A137" s="23" t="s">
        <v>131</v>
      </c>
      <c r="B137" s="26">
        <f xml:space="preserve"> 2547</f>
        <v>2547</v>
      </c>
      <c r="C137" s="26">
        <f>_xll.StatMean(B125:B136)</f>
        <v>2335.6666666666665</v>
      </c>
      <c r="D137" s="26">
        <f t="shared" si="0"/>
        <v>211.33333333333348</v>
      </c>
    </row>
    <row r="138" spans="1:4" ht="12.75" customHeight="1" x14ac:dyDescent="0.25">
      <c r="A138" s="23" t="s">
        <v>132</v>
      </c>
      <c r="B138" s="26">
        <f xml:space="preserve"> 2570</f>
        <v>2570</v>
      </c>
      <c r="C138" s="26">
        <f>_xll.StatMean(B126:B137)</f>
        <v>2367.25</v>
      </c>
      <c r="D138" s="26">
        <f t="shared" si="0"/>
        <v>202.75</v>
      </c>
    </row>
    <row r="139" spans="1:4" ht="12.75" customHeight="1" x14ac:dyDescent="0.25">
      <c r="A139" s="23" t="s">
        <v>133</v>
      </c>
      <c r="B139" s="26">
        <f xml:space="preserve"> 2611</f>
        <v>2611</v>
      </c>
      <c r="C139" s="26">
        <f>_xll.StatMean(B127:B138)</f>
        <v>2397.5</v>
      </c>
      <c r="D139" s="26">
        <f t="shared" si="0"/>
        <v>213.5</v>
      </c>
    </row>
    <row r="140" spans="1:4" ht="12.75" customHeight="1" x14ac:dyDescent="0.25">
      <c r="A140" s="23" t="s">
        <v>134</v>
      </c>
      <c r="B140" s="26">
        <f xml:space="preserve"> 2628</f>
        <v>2628</v>
      </c>
      <c r="C140" s="26">
        <f>_xll.StatMean(B128:B139)</f>
        <v>2429.5833333333335</v>
      </c>
      <c r="D140" s="26">
        <f t="shared" si="0"/>
        <v>198.41666666666652</v>
      </c>
    </row>
    <row r="141" spans="1:4" ht="12.75" customHeight="1" x14ac:dyDescent="0.25">
      <c r="A141" s="23" t="s">
        <v>135</v>
      </c>
      <c r="B141" s="26">
        <f xml:space="preserve"> 2662</f>
        <v>2662</v>
      </c>
      <c r="C141" s="26">
        <f>_xll.StatMean(B129:B140)</f>
        <v>2460.6666666666665</v>
      </c>
      <c r="D141" s="26">
        <f t="shared" si="0"/>
        <v>201.33333333333348</v>
      </c>
    </row>
    <row r="142" spans="1:4" ht="12.75" customHeight="1" x14ac:dyDescent="0.25">
      <c r="A142" s="27" t="s">
        <v>136</v>
      </c>
      <c r="B142" s="28">
        <f xml:space="preserve"> 2696</f>
        <v>2696</v>
      </c>
      <c r="C142" s="28">
        <f>_xll.StatMean(B130:B141)</f>
        <v>2492.25</v>
      </c>
      <c r="D142" s="28">
        <f t="shared" si="0"/>
        <v>203.75</v>
      </c>
    </row>
    <row r="143" spans="1:4" ht="12.75" customHeight="1" x14ac:dyDescent="0.25">
      <c r="A143" s="23" t="s">
        <v>137</v>
      </c>
      <c r="B143" s="26"/>
      <c r="C143" s="26">
        <f>_xll.StatMean(B131:B142)</f>
        <v>2524.5</v>
      </c>
      <c r="D143" s="26"/>
    </row>
    <row r="144" spans="1:4" ht="12.75" customHeight="1" x14ac:dyDescent="0.25">
      <c r="A144" s="23" t="s">
        <v>138</v>
      </c>
      <c r="B144" s="26"/>
      <c r="C144" s="26">
        <f>_xll.StatMean(B132:B142,C143)</f>
        <v>2540.0416666666665</v>
      </c>
      <c r="D144" s="26"/>
    </row>
    <row r="145" spans="1:4" ht="12.75" customHeight="1" x14ac:dyDescent="0.25">
      <c r="A145" s="23" t="s">
        <v>139</v>
      </c>
      <c r="B145" s="26"/>
      <c r="C145" s="26">
        <f>_xll.StatMean(B133:B142,C143:C144)</f>
        <v>2553.2118055555557</v>
      </c>
      <c r="D145" s="26"/>
    </row>
    <row r="146" spans="1:4" ht="12.75" customHeight="1" x14ac:dyDescent="0.25">
      <c r="A146" s="23" t="s">
        <v>140</v>
      </c>
      <c r="B146" s="26"/>
      <c r="C146" s="26">
        <f>_xll.StatMean(B134:B142,C143:C145)</f>
        <v>2565.9794560185187</v>
      </c>
      <c r="D146" s="26"/>
    </row>
    <row r="147" spans="1:4" ht="12.75" customHeight="1" x14ac:dyDescent="0.25">
      <c r="A147" s="23" t="s">
        <v>141</v>
      </c>
      <c r="B147" s="26"/>
      <c r="C147" s="26">
        <f>_xll.StatMean(B135:B142,C143:C146)</f>
        <v>2575.4777440200619</v>
      </c>
      <c r="D147" s="26"/>
    </row>
    <row r="148" spans="1:4" ht="12.75" customHeight="1" x14ac:dyDescent="0.25">
      <c r="A148" s="23" t="s">
        <v>142</v>
      </c>
      <c r="B148" s="26"/>
      <c r="C148" s="26">
        <f>_xll.StatMean(B136:B142,C143:C147)</f>
        <v>2582.9342226884005</v>
      </c>
      <c r="D148" s="26"/>
    </row>
    <row r="149" spans="1:4" ht="12.75" customHeight="1" x14ac:dyDescent="0.25">
      <c r="A149" s="23" t="s">
        <v>143</v>
      </c>
      <c r="B149" s="26"/>
      <c r="C149" s="26">
        <f>_xll.StatMean(B137:B142,C143:C148)</f>
        <v>2588.0120745791005</v>
      </c>
      <c r="D149" s="26"/>
    </row>
    <row r="150" spans="1:4" ht="12.75" customHeight="1" x14ac:dyDescent="0.25">
      <c r="A150" s="23" t="s">
        <v>144</v>
      </c>
      <c r="B150" s="26"/>
      <c r="C150" s="26">
        <f>_xll.StatMean(B138:B142,C143:C149)</f>
        <v>2591.4297474606919</v>
      </c>
      <c r="D150" s="26"/>
    </row>
    <row r="151" spans="1:4" ht="12.75" customHeight="1" x14ac:dyDescent="0.25">
      <c r="A151" s="23" t="s">
        <v>145</v>
      </c>
      <c r="B151" s="26"/>
      <c r="C151" s="26">
        <f>_xll.StatMean(B139:B142,C143:C150)</f>
        <v>2593.2155597490832</v>
      </c>
      <c r="D151" s="26"/>
    </row>
    <row r="152" spans="1:4" ht="12.75" customHeight="1" x14ac:dyDescent="0.25">
      <c r="A152" s="23" t="s">
        <v>146</v>
      </c>
      <c r="B152" s="26"/>
      <c r="C152" s="26">
        <f>_xll.StatMean(B140:B142,C143:C151)</f>
        <v>2591.7335230615067</v>
      </c>
      <c r="D152" s="26"/>
    </row>
    <row r="153" spans="1:4" ht="12.75" customHeight="1" x14ac:dyDescent="0.25">
      <c r="A153" s="23" t="s">
        <v>147</v>
      </c>
      <c r="B153" s="26"/>
      <c r="C153" s="26">
        <f>_xll.StatMean(B141:B142,C143:C152)</f>
        <v>2588.7113166499653</v>
      </c>
      <c r="D153" s="26"/>
    </row>
    <row r="154" spans="1:4" ht="12.75" customHeight="1" x14ac:dyDescent="0.25">
      <c r="A154" s="23" t="s">
        <v>148</v>
      </c>
      <c r="B154" s="26"/>
      <c r="C154" s="26">
        <f>_xll.StatMean(B142,C143:C153)</f>
        <v>2582.6039263707958</v>
      </c>
      <c r="D154" s="26"/>
    </row>
  </sheetData>
  <phoneticPr fontId="1" type="noConversion"/>
  <pageMargins left="0.75" right="0.75" top="1" bottom="1" header="0.5" footer="0.5"/>
  <pageSetup orientation="portrait" blackAndWhite="1" horizontalDpi="300" verticalDpi="300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54"/>
  <sheetViews>
    <sheetView showGridLines="0" workbookViewId="0"/>
  </sheetViews>
  <sheetFormatPr defaultColWidth="12.7109375" defaultRowHeight="15" x14ac:dyDescent="0.25"/>
  <cols>
    <col min="1" max="1" width="28.5703125" style="1" bestFit="1" customWidth="1"/>
    <col min="2" max="2" width="18.140625" style="1" bestFit="1" customWidth="1"/>
    <col min="3" max="5" width="12.7109375" style="1" customWidth="1"/>
    <col min="6" max="16384" width="12.7109375" style="1"/>
  </cols>
  <sheetData>
    <row r="1" spans="1:2" s="4" customFormat="1" ht="18" x14ac:dyDescent="0.25">
      <c r="A1" s="15" t="s">
        <v>41</v>
      </c>
      <c r="B1" s="18" t="s">
        <v>42</v>
      </c>
    </row>
    <row r="2" spans="1:2" s="4" customFormat="1" x14ac:dyDescent="0.25">
      <c r="A2" s="16" t="s">
        <v>43</v>
      </c>
      <c r="B2" s="18" t="s">
        <v>49</v>
      </c>
    </row>
    <row r="3" spans="1:2" s="4" customFormat="1" x14ac:dyDescent="0.25">
      <c r="A3" s="16" t="s">
        <v>45</v>
      </c>
      <c r="B3" s="18" t="s">
        <v>75</v>
      </c>
    </row>
    <row r="4" spans="1:2" s="4" customFormat="1" x14ac:dyDescent="0.25">
      <c r="A4" s="16" t="s">
        <v>46</v>
      </c>
      <c r="B4" s="18" t="s">
        <v>76</v>
      </c>
    </row>
    <row r="5" spans="1:2" s="5" customFormat="1" x14ac:dyDescent="0.25">
      <c r="A5" s="17" t="s">
        <v>47</v>
      </c>
      <c r="B5" s="19" t="s">
        <v>48</v>
      </c>
    </row>
    <row r="7" spans="1:2" ht="12.75" customHeight="1" x14ac:dyDescent="0.25">
      <c r="A7" s="24"/>
      <c r="B7" s="21"/>
    </row>
    <row r="8" spans="1:2" ht="12.75" customHeight="1" thickBot="1" x14ac:dyDescent="0.3">
      <c r="A8" s="25" t="s">
        <v>58</v>
      </c>
      <c r="B8" s="22"/>
    </row>
    <row r="9" spans="1:2" ht="12.75" customHeight="1" thickTop="1" x14ac:dyDescent="0.25">
      <c r="A9" s="23" t="s">
        <v>60</v>
      </c>
      <c r="B9" s="30">
        <v>1</v>
      </c>
    </row>
    <row r="10" spans="1:2" ht="12.75" customHeight="1" x14ac:dyDescent="0.25"/>
    <row r="11" spans="1:2" ht="12.75" customHeight="1" x14ac:dyDescent="0.25">
      <c r="A11" s="24"/>
      <c r="B11" s="21"/>
    </row>
    <row r="12" spans="1:2" ht="12.75" customHeight="1" thickBot="1" x14ac:dyDescent="0.3">
      <c r="A12" s="25" t="s">
        <v>59</v>
      </c>
      <c r="B12" s="22"/>
    </row>
    <row r="13" spans="1:2" ht="12.75" customHeight="1" thickTop="1" x14ac:dyDescent="0.25">
      <c r="A13" s="23" t="s">
        <v>54</v>
      </c>
      <c r="B13" s="26">
        <f>_xll.StatMeanAbs(E84:E142)</f>
        <v>28.745762711864408</v>
      </c>
    </row>
    <row r="14" spans="1:2" ht="12.75" customHeight="1" x14ac:dyDescent="0.25">
      <c r="A14" s="23" t="s">
        <v>55</v>
      </c>
      <c r="B14" s="26">
        <f>SQRT(SUMSQ(E84:E142)/_xll.StatCount(E84:E142))</f>
        <v>29.997740027869785</v>
      </c>
    </row>
    <row r="15" spans="1:2" ht="12.75" customHeight="1" x14ac:dyDescent="0.25">
      <c r="A15" s="23" t="s">
        <v>56</v>
      </c>
      <c r="B15" s="29">
        <f>_xll.StatPairMeanAbsQuotient(E84:E142,B84:B142)</f>
        <v>1.6643510571640204E-2</v>
      </c>
    </row>
    <row r="16" spans="1:2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spans="1:5" ht="12.75" customHeight="1" x14ac:dyDescent="0.25">
      <c r="A81" s="24"/>
      <c r="B81" s="21"/>
      <c r="C81" s="21"/>
      <c r="D81" s="21"/>
      <c r="E81" s="21"/>
    </row>
    <row r="82" spans="1:5" ht="12.75" customHeight="1" thickBot="1" x14ac:dyDescent="0.3">
      <c r="A82" s="25" t="s">
        <v>52</v>
      </c>
      <c r="B82" s="22" t="s">
        <v>1</v>
      </c>
      <c r="C82" s="22" t="s">
        <v>61</v>
      </c>
      <c r="D82" s="22" t="s">
        <v>49</v>
      </c>
      <c r="E82" s="22" t="s">
        <v>57</v>
      </c>
    </row>
    <row r="83" spans="1:5" ht="12.75" customHeight="1" thickTop="1" x14ac:dyDescent="0.25">
      <c r="A83" s="23" t="s">
        <v>77</v>
      </c>
      <c r="B83" s="26">
        <f xml:space="preserve"> 1000</f>
        <v>1000</v>
      </c>
      <c r="C83" s="26">
        <f>B83</f>
        <v>1000</v>
      </c>
      <c r="D83" s="26"/>
      <c r="E83" s="26"/>
    </row>
    <row r="84" spans="1:5" ht="12.75" customHeight="1" x14ac:dyDescent="0.25">
      <c r="A84" s="23" t="s">
        <v>78</v>
      </c>
      <c r="B84" s="26">
        <f xml:space="preserve"> 1025</f>
        <v>1025</v>
      </c>
      <c r="C84" s="26">
        <f>$B$9*B84+(1-$B$9)*C83</f>
        <v>1025</v>
      </c>
      <c r="D84" s="26">
        <f>C83</f>
        <v>1000</v>
      </c>
      <c r="E84" s="26">
        <f>B84-D84</f>
        <v>25</v>
      </c>
    </row>
    <row r="85" spans="1:5" ht="12.75" customHeight="1" x14ac:dyDescent="0.25">
      <c r="A85" s="23" t="s">
        <v>79</v>
      </c>
      <c r="B85" s="26">
        <f xml:space="preserve"> 1066</f>
        <v>1066</v>
      </c>
      <c r="C85" s="26">
        <f t="shared" ref="C85:C142" si="0">$B$9*B85+(1-$B$9)*C84</f>
        <v>1066</v>
      </c>
      <c r="D85" s="26">
        <f t="shared" ref="D85:D142" si="1">C84</f>
        <v>1025</v>
      </c>
      <c r="E85" s="26">
        <f t="shared" ref="E85:E142" si="2">B85-D85</f>
        <v>41</v>
      </c>
    </row>
    <row r="86" spans="1:5" ht="12.75" customHeight="1" x14ac:dyDescent="0.25">
      <c r="A86" s="23" t="s">
        <v>80</v>
      </c>
      <c r="B86" s="26">
        <f xml:space="preserve"> 1107</f>
        <v>1107</v>
      </c>
      <c r="C86" s="26">
        <f t="shared" si="0"/>
        <v>1107</v>
      </c>
      <c r="D86" s="26">
        <f t="shared" si="1"/>
        <v>1066</v>
      </c>
      <c r="E86" s="26">
        <f t="shared" si="2"/>
        <v>41</v>
      </c>
    </row>
    <row r="87" spans="1:5" ht="12.75" customHeight="1" x14ac:dyDescent="0.25">
      <c r="A87" s="23" t="s">
        <v>81</v>
      </c>
      <c r="B87" s="26">
        <f xml:space="preserve"> 1148</f>
        <v>1148</v>
      </c>
      <c r="C87" s="26">
        <f t="shared" si="0"/>
        <v>1148</v>
      </c>
      <c r="D87" s="26">
        <f t="shared" si="1"/>
        <v>1107</v>
      </c>
      <c r="E87" s="26">
        <f t="shared" si="2"/>
        <v>41</v>
      </c>
    </row>
    <row r="88" spans="1:5" ht="12.75" customHeight="1" x14ac:dyDescent="0.25">
      <c r="A88" s="23" t="s">
        <v>82</v>
      </c>
      <c r="B88" s="26">
        <f xml:space="preserve"> 1172</f>
        <v>1172</v>
      </c>
      <c r="C88" s="26">
        <f t="shared" si="0"/>
        <v>1172</v>
      </c>
      <c r="D88" s="26">
        <f t="shared" si="1"/>
        <v>1148</v>
      </c>
      <c r="E88" s="26">
        <f t="shared" si="2"/>
        <v>24</v>
      </c>
    </row>
    <row r="89" spans="1:5" ht="12.75" customHeight="1" x14ac:dyDescent="0.25">
      <c r="A89" s="23" t="s">
        <v>83</v>
      </c>
      <c r="B89" s="26">
        <f xml:space="preserve"> 1200</f>
        <v>1200</v>
      </c>
      <c r="C89" s="26">
        <f t="shared" si="0"/>
        <v>1200</v>
      </c>
      <c r="D89" s="26">
        <f t="shared" si="1"/>
        <v>1172</v>
      </c>
      <c r="E89" s="26">
        <f t="shared" si="2"/>
        <v>28</v>
      </c>
    </row>
    <row r="90" spans="1:5" ht="12.75" customHeight="1" x14ac:dyDescent="0.25">
      <c r="A90" s="23" t="s">
        <v>84</v>
      </c>
      <c r="B90" s="26">
        <f xml:space="preserve"> 1229</f>
        <v>1229</v>
      </c>
      <c r="C90" s="26">
        <f t="shared" si="0"/>
        <v>1229</v>
      </c>
      <c r="D90" s="26">
        <f t="shared" si="1"/>
        <v>1200</v>
      </c>
      <c r="E90" s="26">
        <f t="shared" si="2"/>
        <v>29</v>
      </c>
    </row>
    <row r="91" spans="1:5" ht="12.75" customHeight="1" x14ac:dyDescent="0.25">
      <c r="A91" s="23" t="s">
        <v>85</v>
      </c>
      <c r="B91" s="26">
        <f xml:space="preserve"> 1251</f>
        <v>1251</v>
      </c>
      <c r="C91" s="26">
        <f t="shared" si="0"/>
        <v>1251</v>
      </c>
      <c r="D91" s="26">
        <f t="shared" si="1"/>
        <v>1229</v>
      </c>
      <c r="E91" s="26">
        <f t="shared" si="2"/>
        <v>22</v>
      </c>
    </row>
    <row r="92" spans="1:5" ht="12.75" customHeight="1" x14ac:dyDescent="0.25">
      <c r="A92" s="23" t="s">
        <v>86</v>
      </c>
      <c r="B92" s="26">
        <f xml:space="preserve"> 1279</f>
        <v>1279</v>
      </c>
      <c r="C92" s="26">
        <f t="shared" si="0"/>
        <v>1279</v>
      </c>
      <c r="D92" s="26">
        <f t="shared" si="1"/>
        <v>1251</v>
      </c>
      <c r="E92" s="26">
        <f t="shared" si="2"/>
        <v>28</v>
      </c>
    </row>
    <row r="93" spans="1:5" ht="12.75" customHeight="1" x14ac:dyDescent="0.25">
      <c r="A93" s="23" t="s">
        <v>87</v>
      </c>
      <c r="B93" s="26">
        <f xml:space="preserve"> 1317</f>
        <v>1317</v>
      </c>
      <c r="C93" s="26">
        <f t="shared" si="0"/>
        <v>1317</v>
      </c>
      <c r="D93" s="26">
        <f t="shared" si="1"/>
        <v>1279</v>
      </c>
      <c r="E93" s="26">
        <f t="shared" si="2"/>
        <v>38</v>
      </c>
    </row>
    <row r="94" spans="1:5" ht="12.75" customHeight="1" x14ac:dyDescent="0.25">
      <c r="A94" s="23" t="s">
        <v>88</v>
      </c>
      <c r="B94" s="26">
        <f xml:space="preserve"> 1336</f>
        <v>1336</v>
      </c>
      <c r="C94" s="26">
        <f t="shared" si="0"/>
        <v>1336</v>
      </c>
      <c r="D94" s="26">
        <f t="shared" si="1"/>
        <v>1317</v>
      </c>
      <c r="E94" s="26">
        <f t="shared" si="2"/>
        <v>19</v>
      </c>
    </row>
    <row r="95" spans="1:5" ht="12.75" customHeight="1" x14ac:dyDescent="0.25">
      <c r="A95" s="23" t="s">
        <v>89</v>
      </c>
      <c r="B95" s="26">
        <f xml:space="preserve"> 1368</f>
        <v>1368</v>
      </c>
      <c r="C95" s="26">
        <f t="shared" si="0"/>
        <v>1368</v>
      </c>
      <c r="D95" s="26">
        <f t="shared" si="1"/>
        <v>1336</v>
      </c>
      <c r="E95" s="26">
        <f t="shared" si="2"/>
        <v>32</v>
      </c>
    </row>
    <row r="96" spans="1:5" ht="12.75" customHeight="1" x14ac:dyDescent="0.25">
      <c r="A96" s="23" t="s">
        <v>90</v>
      </c>
      <c r="B96" s="26">
        <f xml:space="preserve"> 1380</f>
        <v>1380</v>
      </c>
      <c r="C96" s="26">
        <f t="shared" si="0"/>
        <v>1380</v>
      </c>
      <c r="D96" s="26">
        <f t="shared" si="1"/>
        <v>1368</v>
      </c>
      <c r="E96" s="26">
        <f t="shared" si="2"/>
        <v>12</v>
      </c>
    </row>
    <row r="97" spans="1:5" ht="12.75" customHeight="1" x14ac:dyDescent="0.25">
      <c r="A97" s="23" t="s">
        <v>91</v>
      </c>
      <c r="B97" s="26">
        <f xml:space="preserve"> 1406</f>
        <v>1406</v>
      </c>
      <c r="C97" s="26">
        <f t="shared" si="0"/>
        <v>1406</v>
      </c>
      <c r="D97" s="26">
        <f t="shared" si="1"/>
        <v>1380</v>
      </c>
      <c r="E97" s="26">
        <f t="shared" si="2"/>
        <v>26</v>
      </c>
    </row>
    <row r="98" spans="1:5" ht="12.75" customHeight="1" x14ac:dyDescent="0.25">
      <c r="A98" s="23" t="s">
        <v>92</v>
      </c>
      <c r="B98" s="26">
        <f xml:space="preserve"> 1439</f>
        <v>1439</v>
      </c>
      <c r="C98" s="26">
        <f t="shared" si="0"/>
        <v>1439</v>
      </c>
      <c r="D98" s="26">
        <f t="shared" si="1"/>
        <v>1406</v>
      </c>
      <c r="E98" s="26">
        <f t="shared" si="2"/>
        <v>33</v>
      </c>
    </row>
    <row r="99" spans="1:5" ht="12.75" customHeight="1" x14ac:dyDescent="0.25">
      <c r="A99" s="23" t="s">
        <v>93</v>
      </c>
      <c r="B99" s="26">
        <f xml:space="preserve"> 1474</f>
        <v>1474</v>
      </c>
      <c r="C99" s="26">
        <f t="shared" si="0"/>
        <v>1474</v>
      </c>
      <c r="D99" s="26">
        <f t="shared" si="1"/>
        <v>1439</v>
      </c>
      <c r="E99" s="26">
        <f t="shared" si="2"/>
        <v>35</v>
      </c>
    </row>
    <row r="100" spans="1:5" ht="12.75" customHeight="1" x14ac:dyDescent="0.25">
      <c r="A100" s="23" t="s">
        <v>94</v>
      </c>
      <c r="B100" s="26">
        <f xml:space="preserve"> 1499</f>
        <v>1499</v>
      </c>
      <c r="C100" s="26">
        <f t="shared" si="0"/>
        <v>1499</v>
      </c>
      <c r="D100" s="26">
        <f t="shared" si="1"/>
        <v>1474</v>
      </c>
      <c r="E100" s="26">
        <f t="shared" si="2"/>
        <v>25</v>
      </c>
    </row>
    <row r="101" spans="1:5" ht="12.75" customHeight="1" x14ac:dyDescent="0.25">
      <c r="A101" s="23" t="s">
        <v>95</v>
      </c>
      <c r="B101" s="26">
        <f xml:space="preserve"> 1528</f>
        <v>1528</v>
      </c>
      <c r="C101" s="26">
        <f t="shared" si="0"/>
        <v>1528</v>
      </c>
      <c r="D101" s="26">
        <f t="shared" si="1"/>
        <v>1499</v>
      </c>
      <c r="E101" s="26">
        <f t="shared" si="2"/>
        <v>29</v>
      </c>
    </row>
    <row r="102" spans="1:5" ht="12.75" customHeight="1" x14ac:dyDescent="0.25">
      <c r="A102" s="23" t="s">
        <v>96</v>
      </c>
      <c r="B102" s="26">
        <f xml:space="preserve"> 1541</f>
        <v>1541</v>
      </c>
      <c r="C102" s="26">
        <f t="shared" si="0"/>
        <v>1541</v>
      </c>
      <c r="D102" s="26">
        <f t="shared" si="1"/>
        <v>1528</v>
      </c>
      <c r="E102" s="26">
        <f t="shared" si="2"/>
        <v>13</v>
      </c>
    </row>
    <row r="103" spans="1:5" ht="12.75" customHeight="1" x14ac:dyDescent="0.25">
      <c r="A103" s="23" t="s">
        <v>97</v>
      </c>
      <c r="B103" s="26">
        <f xml:space="preserve"> 1570</f>
        <v>1570</v>
      </c>
      <c r="C103" s="26">
        <f t="shared" si="0"/>
        <v>1570</v>
      </c>
      <c r="D103" s="26">
        <f t="shared" si="1"/>
        <v>1541</v>
      </c>
      <c r="E103" s="26">
        <f t="shared" si="2"/>
        <v>29</v>
      </c>
    </row>
    <row r="104" spans="1:5" ht="12.75" customHeight="1" x14ac:dyDescent="0.25">
      <c r="A104" s="23" t="s">
        <v>98</v>
      </c>
      <c r="B104" s="26">
        <f xml:space="preserve"> 1608</f>
        <v>1608</v>
      </c>
      <c r="C104" s="26">
        <f t="shared" si="0"/>
        <v>1608</v>
      </c>
      <c r="D104" s="26">
        <f t="shared" si="1"/>
        <v>1570</v>
      </c>
      <c r="E104" s="26">
        <f t="shared" si="2"/>
        <v>38</v>
      </c>
    </row>
    <row r="105" spans="1:5" ht="12.75" customHeight="1" x14ac:dyDescent="0.25">
      <c r="A105" s="23" t="s">
        <v>99</v>
      </c>
      <c r="B105" s="26">
        <f xml:space="preserve"> 1632</f>
        <v>1632</v>
      </c>
      <c r="C105" s="26">
        <f t="shared" si="0"/>
        <v>1632</v>
      </c>
      <c r="D105" s="26">
        <f t="shared" si="1"/>
        <v>1608</v>
      </c>
      <c r="E105" s="26">
        <f t="shared" si="2"/>
        <v>24</v>
      </c>
    </row>
    <row r="106" spans="1:5" ht="12.75" customHeight="1" x14ac:dyDescent="0.25">
      <c r="A106" s="23" t="s">
        <v>100</v>
      </c>
      <c r="B106" s="26">
        <f xml:space="preserve"> 1661</f>
        <v>1661</v>
      </c>
      <c r="C106" s="26">
        <f t="shared" si="0"/>
        <v>1661</v>
      </c>
      <c r="D106" s="26">
        <f t="shared" si="1"/>
        <v>1632</v>
      </c>
      <c r="E106" s="26">
        <f t="shared" si="2"/>
        <v>29</v>
      </c>
    </row>
    <row r="107" spans="1:5" ht="12.75" customHeight="1" x14ac:dyDescent="0.25">
      <c r="A107" s="23" t="s">
        <v>101</v>
      </c>
      <c r="B107" s="26">
        <f xml:space="preserve"> 1701</f>
        <v>1701</v>
      </c>
      <c r="C107" s="26">
        <f t="shared" si="0"/>
        <v>1701</v>
      </c>
      <c r="D107" s="26">
        <f t="shared" si="1"/>
        <v>1661</v>
      </c>
      <c r="E107" s="26">
        <f t="shared" si="2"/>
        <v>40</v>
      </c>
    </row>
    <row r="108" spans="1:5" ht="12.75" customHeight="1" x14ac:dyDescent="0.25">
      <c r="A108" s="23" t="s">
        <v>102</v>
      </c>
      <c r="B108" s="26">
        <f xml:space="preserve"> 1732</f>
        <v>1732</v>
      </c>
      <c r="C108" s="26">
        <f t="shared" si="0"/>
        <v>1732</v>
      </c>
      <c r="D108" s="26">
        <f t="shared" si="1"/>
        <v>1701</v>
      </c>
      <c r="E108" s="26">
        <f t="shared" si="2"/>
        <v>31</v>
      </c>
    </row>
    <row r="109" spans="1:5" ht="12.75" customHeight="1" x14ac:dyDescent="0.25">
      <c r="A109" s="23" t="s">
        <v>103</v>
      </c>
      <c r="B109" s="26">
        <f xml:space="preserve"> 1758</f>
        <v>1758</v>
      </c>
      <c r="C109" s="26">
        <f t="shared" si="0"/>
        <v>1758</v>
      </c>
      <c r="D109" s="26">
        <f t="shared" si="1"/>
        <v>1732</v>
      </c>
      <c r="E109" s="26">
        <f t="shared" si="2"/>
        <v>26</v>
      </c>
    </row>
    <row r="110" spans="1:5" ht="12.75" customHeight="1" x14ac:dyDescent="0.25">
      <c r="A110" s="23" t="s">
        <v>104</v>
      </c>
      <c r="B110" s="26">
        <f xml:space="preserve"> 1774</f>
        <v>1774</v>
      </c>
      <c r="C110" s="26">
        <f t="shared" si="0"/>
        <v>1774</v>
      </c>
      <c r="D110" s="26">
        <f t="shared" si="1"/>
        <v>1758</v>
      </c>
      <c r="E110" s="26">
        <f t="shared" si="2"/>
        <v>16</v>
      </c>
    </row>
    <row r="111" spans="1:5" ht="12.75" customHeight="1" x14ac:dyDescent="0.25">
      <c r="A111" s="23" t="s">
        <v>105</v>
      </c>
      <c r="B111" s="26">
        <f xml:space="preserve"> 1808</f>
        <v>1808</v>
      </c>
      <c r="C111" s="26">
        <f t="shared" si="0"/>
        <v>1808</v>
      </c>
      <c r="D111" s="26">
        <f t="shared" si="1"/>
        <v>1774</v>
      </c>
      <c r="E111" s="26">
        <f t="shared" si="2"/>
        <v>34</v>
      </c>
    </row>
    <row r="112" spans="1:5" ht="12.75" customHeight="1" x14ac:dyDescent="0.25">
      <c r="A112" s="23" t="s">
        <v>106</v>
      </c>
      <c r="B112" s="26">
        <f xml:space="preserve"> 1827</f>
        <v>1827</v>
      </c>
      <c r="C112" s="26">
        <f t="shared" si="0"/>
        <v>1827</v>
      </c>
      <c r="D112" s="26">
        <f t="shared" si="1"/>
        <v>1808</v>
      </c>
      <c r="E112" s="26">
        <f t="shared" si="2"/>
        <v>19</v>
      </c>
    </row>
    <row r="113" spans="1:5" ht="12.75" customHeight="1" x14ac:dyDescent="0.25">
      <c r="A113" s="23" t="s">
        <v>107</v>
      </c>
      <c r="B113" s="26">
        <f xml:space="preserve"> 1844</f>
        <v>1844</v>
      </c>
      <c r="C113" s="26">
        <f t="shared" si="0"/>
        <v>1844</v>
      </c>
      <c r="D113" s="26">
        <f t="shared" si="1"/>
        <v>1827</v>
      </c>
      <c r="E113" s="26">
        <f t="shared" si="2"/>
        <v>17</v>
      </c>
    </row>
    <row r="114" spans="1:5" ht="12.75" customHeight="1" x14ac:dyDescent="0.25">
      <c r="A114" s="23" t="s">
        <v>108</v>
      </c>
      <c r="B114" s="26">
        <f xml:space="preserve"> 1871</f>
        <v>1871</v>
      </c>
      <c r="C114" s="26">
        <f t="shared" si="0"/>
        <v>1871</v>
      </c>
      <c r="D114" s="26">
        <f t="shared" si="1"/>
        <v>1844</v>
      </c>
      <c r="E114" s="26">
        <f t="shared" si="2"/>
        <v>27</v>
      </c>
    </row>
    <row r="115" spans="1:5" ht="12.75" customHeight="1" x14ac:dyDescent="0.25">
      <c r="A115" s="23" t="s">
        <v>109</v>
      </c>
      <c r="B115" s="26">
        <f xml:space="preserve"> 1898</f>
        <v>1898</v>
      </c>
      <c r="C115" s="26">
        <f t="shared" si="0"/>
        <v>1898</v>
      </c>
      <c r="D115" s="26">
        <f t="shared" si="1"/>
        <v>1871</v>
      </c>
      <c r="E115" s="26">
        <f t="shared" si="2"/>
        <v>27</v>
      </c>
    </row>
    <row r="116" spans="1:5" ht="12.75" customHeight="1" x14ac:dyDescent="0.25">
      <c r="A116" s="23" t="s">
        <v>110</v>
      </c>
      <c r="B116" s="26">
        <f xml:space="preserve"> 1908</f>
        <v>1908</v>
      </c>
      <c r="C116" s="26">
        <f t="shared" si="0"/>
        <v>1908</v>
      </c>
      <c r="D116" s="26">
        <f t="shared" si="1"/>
        <v>1898</v>
      </c>
      <c r="E116" s="26">
        <f t="shared" si="2"/>
        <v>10</v>
      </c>
    </row>
    <row r="117" spans="1:5" ht="12.75" customHeight="1" x14ac:dyDescent="0.25">
      <c r="A117" s="23" t="s">
        <v>111</v>
      </c>
      <c r="B117" s="26">
        <f xml:space="preserve"> 1934</f>
        <v>1934</v>
      </c>
      <c r="C117" s="26">
        <f t="shared" si="0"/>
        <v>1934</v>
      </c>
      <c r="D117" s="26">
        <f t="shared" si="1"/>
        <v>1908</v>
      </c>
      <c r="E117" s="26">
        <f t="shared" si="2"/>
        <v>26</v>
      </c>
    </row>
    <row r="118" spans="1:5" ht="12.75" customHeight="1" x14ac:dyDescent="0.25">
      <c r="A118" s="23" t="s">
        <v>112</v>
      </c>
      <c r="B118" s="26">
        <f xml:space="preserve"> 1968</f>
        <v>1968</v>
      </c>
      <c r="C118" s="26">
        <f t="shared" si="0"/>
        <v>1968</v>
      </c>
      <c r="D118" s="26">
        <f t="shared" si="1"/>
        <v>1934</v>
      </c>
      <c r="E118" s="26">
        <f t="shared" si="2"/>
        <v>34</v>
      </c>
    </row>
    <row r="119" spans="1:5" ht="12.75" customHeight="1" x14ac:dyDescent="0.25">
      <c r="A119" s="23" t="s">
        <v>113</v>
      </c>
      <c r="B119" s="26">
        <f xml:space="preserve"> 1986</f>
        <v>1986</v>
      </c>
      <c r="C119" s="26">
        <f t="shared" si="0"/>
        <v>1986</v>
      </c>
      <c r="D119" s="26">
        <f t="shared" si="1"/>
        <v>1968</v>
      </c>
      <c r="E119" s="26">
        <f t="shared" si="2"/>
        <v>18</v>
      </c>
    </row>
    <row r="120" spans="1:5" ht="12.75" customHeight="1" x14ac:dyDescent="0.25">
      <c r="A120" s="23" t="s">
        <v>114</v>
      </c>
      <c r="B120" s="26">
        <f xml:space="preserve"> 2021</f>
        <v>2021</v>
      </c>
      <c r="C120" s="26">
        <f t="shared" si="0"/>
        <v>2021</v>
      </c>
      <c r="D120" s="26">
        <f t="shared" si="1"/>
        <v>1986</v>
      </c>
      <c r="E120" s="26">
        <f t="shared" si="2"/>
        <v>35</v>
      </c>
    </row>
    <row r="121" spans="1:5" ht="12.75" customHeight="1" x14ac:dyDescent="0.25">
      <c r="A121" s="23" t="s">
        <v>115</v>
      </c>
      <c r="B121" s="26">
        <f xml:space="preserve"> 2056</f>
        <v>2056</v>
      </c>
      <c r="C121" s="26">
        <f t="shared" si="0"/>
        <v>2056</v>
      </c>
      <c r="D121" s="26">
        <f t="shared" si="1"/>
        <v>2021</v>
      </c>
      <c r="E121" s="26">
        <f t="shared" si="2"/>
        <v>35</v>
      </c>
    </row>
    <row r="122" spans="1:5" ht="12.75" customHeight="1" x14ac:dyDescent="0.25">
      <c r="A122" s="23" t="s">
        <v>116</v>
      </c>
      <c r="B122" s="26">
        <f xml:space="preserve"> 2095</f>
        <v>2095</v>
      </c>
      <c r="C122" s="26">
        <f t="shared" si="0"/>
        <v>2095</v>
      </c>
      <c r="D122" s="26">
        <f t="shared" si="1"/>
        <v>2056</v>
      </c>
      <c r="E122" s="26">
        <f t="shared" si="2"/>
        <v>39</v>
      </c>
    </row>
    <row r="123" spans="1:5" ht="12.75" customHeight="1" x14ac:dyDescent="0.25">
      <c r="A123" s="23" t="s">
        <v>117</v>
      </c>
      <c r="B123" s="26">
        <f xml:space="preserve"> 2122</f>
        <v>2122</v>
      </c>
      <c r="C123" s="26">
        <f t="shared" si="0"/>
        <v>2122</v>
      </c>
      <c r="D123" s="26">
        <f t="shared" si="1"/>
        <v>2095</v>
      </c>
      <c r="E123" s="26">
        <f t="shared" si="2"/>
        <v>27</v>
      </c>
    </row>
    <row r="124" spans="1:5" ht="12.75" customHeight="1" x14ac:dyDescent="0.25">
      <c r="A124" s="23" t="s">
        <v>118</v>
      </c>
      <c r="B124" s="26">
        <f xml:space="preserve"> 2143</f>
        <v>2143</v>
      </c>
      <c r="C124" s="26">
        <f t="shared" si="0"/>
        <v>2143</v>
      </c>
      <c r="D124" s="26">
        <f t="shared" si="1"/>
        <v>2122</v>
      </c>
      <c r="E124" s="26">
        <f t="shared" si="2"/>
        <v>21</v>
      </c>
    </row>
    <row r="125" spans="1:5" ht="12.75" customHeight="1" x14ac:dyDescent="0.25">
      <c r="A125" s="23" t="s">
        <v>119</v>
      </c>
      <c r="B125" s="26">
        <f xml:space="preserve"> 2168</f>
        <v>2168</v>
      </c>
      <c r="C125" s="26">
        <f t="shared" si="0"/>
        <v>2168</v>
      </c>
      <c r="D125" s="26">
        <f t="shared" si="1"/>
        <v>2143</v>
      </c>
      <c r="E125" s="26">
        <f t="shared" si="2"/>
        <v>25</v>
      </c>
    </row>
    <row r="126" spans="1:5" ht="12.75" customHeight="1" x14ac:dyDescent="0.25">
      <c r="A126" s="23" t="s">
        <v>120</v>
      </c>
      <c r="B126" s="26">
        <f xml:space="preserve"> 2207</f>
        <v>2207</v>
      </c>
      <c r="C126" s="26">
        <f t="shared" si="0"/>
        <v>2207</v>
      </c>
      <c r="D126" s="26">
        <f t="shared" si="1"/>
        <v>2168</v>
      </c>
      <c r="E126" s="26">
        <f t="shared" si="2"/>
        <v>39</v>
      </c>
    </row>
    <row r="127" spans="1:5" ht="12.75" customHeight="1" x14ac:dyDescent="0.25">
      <c r="A127" s="23" t="s">
        <v>121</v>
      </c>
      <c r="B127" s="26">
        <f xml:space="preserve"> 2226</f>
        <v>2226</v>
      </c>
      <c r="C127" s="26">
        <f t="shared" si="0"/>
        <v>2226</v>
      </c>
      <c r="D127" s="26">
        <f t="shared" si="1"/>
        <v>2207</v>
      </c>
      <c r="E127" s="26">
        <f t="shared" si="2"/>
        <v>19</v>
      </c>
    </row>
    <row r="128" spans="1:5" ht="12.75" customHeight="1" x14ac:dyDescent="0.25">
      <c r="A128" s="23" t="s">
        <v>122</v>
      </c>
      <c r="B128" s="26">
        <f xml:space="preserve"> 2255</f>
        <v>2255</v>
      </c>
      <c r="C128" s="26">
        <f t="shared" si="0"/>
        <v>2255</v>
      </c>
      <c r="D128" s="26">
        <f t="shared" si="1"/>
        <v>2226</v>
      </c>
      <c r="E128" s="26">
        <f t="shared" si="2"/>
        <v>29</v>
      </c>
    </row>
    <row r="129" spans="1:5" ht="12.75" customHeight="1" x14ac:dyDescent="0.25">
      <c r="A129" s="23" t="s">
        <v>123</v>
      </c>
      <c r="B129" s="26">
        <f xml:space="preserve"> 2283</f>
        <v>2283</v>
      </c>
      <c r="C129" s="26">
        <f t="shared" si="0"/>
        <v>2283</v>
      </c>
      <c r="D129" s="26">
        <f t="shared" si="1"/>
        <v>2255</v>
      </c>
      <c r="E129" s="26">
        <f t="shared" si="2"/>
        <v>28</v>
      </c>
    </row>
    <row r="130" spans="1:5" ht="12.75" customHeight="1" x14ac:dyDescent="0.25">
      <c r="A130" s="23" t="s">
        <v>124</v>
      </c>
      <c r="B130" s="26">
        <f xml:space="preserve"> 2309</f>
        <v>2309</v>
      </c>
      <c r="C130" s="26">
        <f t="shared" si="0"/>
        <v>2309</v>
      </c>
      <c r="D130" s="26">
        <f t="shared" si="1"/>
        <v>2283</v>
      </c>
      <c r="E130" s="26">
        <f t="shared" si="2"/>
        <v>26</v>
      </c>
    </row>
    <row r="131" spans="1:5" ht="12.75" customHeight="1" x14ac:dyDescent="0.25">
      <c r="A131" s="23" t="s">
        <v>125</v>
      </c>
      <c r="B131" s="26">
        <f xml:space="preserve"> 2338</f>
        <v>2338</v>
      </c>
      <c r="C131" s="26">
        <f t="shared" si="0"/>
        <v>2338</v>
      </c>
      <c r="D131" s="26">
        <f t="shared" si="1"/>
        <v>2309</v>
      </c>
      <c r="E131" s="26">
        <f t="shared" si="2"/>
        <v>29</v>
      </c>
    </row>
    <row r="132" spans="1:5" ht="12.75" customHeight="1" x14ac:dyDescent="0.25">
      <c r="A132" s="23" t="s">
        <v>126</v>
      </c>
      <c r="B132" s="26">
        <f xml:space="preserve"> 2382</f>
        <v>2382</v>
      </c>
      <c r="C132" s="26">
        <f t="shared" si="0"/>
        <v>2382</v>
      </c>
      <c r="D132" s="26">
        <f t="shared" si="1"/>
        <v>2338</v>
      </c>
      <c r="E132" s="26">
        <f t="shared" si="2"/>
        <v>44</v>
      </c>
    </row>
    <row r="133" spans="1:5" ht="12.75" customHeight="1" x14ac:dyDescent="0.25">
      <c r="A133" s="23" t="s">
        <v>127</v>
      </c>
      <c r="B133" s="26">
        <f xml:space="preserve"> 2400</f>
        <v>2400</v>
      </c>
      <c r="C133" s="26">
        <f t="shared" si="0"/>
        <v>2400</v>
      </c>
      <c r="D133" s="26">
        <f t="shared" si="1"/>
        <v>2382</v>
      </c>
      <c r="E133" s="26">
        <f t="shared" si="2"/>
        <v>18</v>
      </c>
    </row>
    <row r="134" spans="1:5" ht="12.75" customHeight="1" x14ac:dyDescent="0.25">
      <c r="A134" s="23" t="s">
        <v>128</v>
      </c>
      <c r="B134" s="26">
        <f xml:space="preserve"> 2452</f>
        <v>2452</v>
      </c>
      <c r="C134" s="26">
        <f t="shared" si="0"/>
        <v>2452</v>
      </c>
      <c r="D134" s="26">
        <f t="shared" si="1"/>
        <v>2400</v>
      </c>
      <c r="E134" s="26">
        <f t="shared" si="2"/>
        <v>52</v>
      </c>
    </row>
    <row r="135" spans="1:5" ht="12.75" customHeight="1" x14ac:dyDescent="0.25">
      <c r="A135" s="23" t="s">
        <v>129</v>
      </c>
      <c r="B135" s="26">
        <f xml:space="preserve"> 2486</f>
        <v>2486</v>
      </c>
      <c r="C135" s="26">
        <f t="shared" si="0"/>
        <v>2486</v>
      </c>
      <c r="D135" s="26">
        <f t="shared" si="1"/>
        <v>2452</v>
      </c>
      <c r="E135" s="26">
        <f t="shared" si="2"/>
        <v>34</v>
      </c>
    </row>
    <row r="136" spans="1:5" ht="12.75" customHeight="1" x14ac:dyDescent="0.25">
      <c r="A136" s="23" t="s">
        <v>130</v>
      </c>
      <c r="B136" s="26">
        <f xml:space="preserve"> 2522</f>
        <v>2522</v>
      </c>
      <c r="C136" s="26">
        <f t="shared" si="0"/>
        <v>2522</v>
      </c>
      <c r="D136" s="26">
        <f t="shared" si="1"/>
        <v>2486</v>
      </c>
      <c r="E136" s="26">
        <f t="shared" si="2"/>
        <v>36</v>
      </c>
    </row>
    <row r="137" spans="1:5" ht="12.75" customHeight="1" x14ac:dyDescent="0.25">
      <c r="A137" s="23" t="s">
        <v>131</v>
      </c>
      <c r="B137" s="26">
        <f xml:space="preserve"> 2547</f>
        <v>2547</v>
      </c>
      <c r="C137" s="26">
        <f t="shared" si="0"/>
        <v>2547</v>
      </c>
      <c r="D137" s="26">
        <f t="shared" si="1"/>
        <v>2522</v>
      </c>
      <c r="E137" s="26">
        <f t="shared" si="2"/>
        <v>25</v>
      </c>
    </row>
    <row r="138" spans="1:5" ht="12.75" customHeight="1" x14ac:dyDescent="0.25">
      <c r="A138" s="23" t="s">
        <v>132</v>
      </c>
      <c r="B138" s="26">
        <f xml:space="preserve"> 2570</f>
        <v>2570</v>
      </c>
      <c r="C138" s="26">
        <f t="shared" si="0"/>
        <v>2570</v>
      </c>
      <c r="D138" s="26">
        <f t="shared" si="1"/>
        <v>2547</v>
      </c>
      <c r="E138" s="26">
        <f t="shared" si="2"/>
        <v>23</v>
      </c>
    </row>
    <row r="139" spans="1:5" ht="12.75" customHeight="1" x14ac:dyDescent="0.25">
      <c r="A139" s="23" t="s">
        <v>133</v>
      </c>
      <c r="B139" s="26">
        <f xml:space="preserve"> 2611</f>
        <v>2611</v>
      </c>
      <c r="C139" s="26">
        <f t="shared" si="0"/>
        <v>2611</v>
      </c>
      <c r="D139" s="26">
        <f t="shared" si="1"/>
        <v>2570</v>
      </c>
      <c r="E139" s="26">
        <f t="shared" si="2"/>
        <v>41</v>
      </c>
    </row>
    <row r="140" spans="1:5" ht="12.75" customHeight="1" x14ac:dyDescent="0.25">
      <c r="A140" s="23" t="s">
        <v>134</v>
      </c>
      <c r="B140" s="26">
        <f xml:space="preserve"> 2628</f>
        <v>2628</v>
      </c>
      <c r="C140" s="26">
        <f t="shared" si="0"/>
        <v>2628</v>
      </c>
      <c r="D140" s="26">
        <f t="shared" si="1"/>
        <v>2611</v>
      </c>
      <c r="E140" s="26">
        <f t="shared" si="2"/>
        <v>17</v>
      </c>
    </row>
    <row r="141" spans="1:5" ht="12.75" customHeight="1" x14ac:dyDescent="0.25">
      <c r="A141" s="23" t="s">
        <v>135</v>
      </c>
      <c r="B141" s="26">
        <f xml:space="preserve"> 2662</f>
        <v>2662</v>
      </c>
      <c r="C141" s="26">
        <f t="shared" si="0"/>
        <v>2662</v>
      </c>
      <c r="D141" s="26">
        <f t="shared" si="1"/>
        <v>2628</v>
      </c>
      <c r="E141" s="26">
        <f t="shared" si="2"/>
        <v>34</v>
      </c>
    </row>
    <row r="142" spans="1:5" ht="12.75" customHeight="1" x14ac:dyDescent="0.25">
      <c r="A142" s="27" t="s">
        <v>136</v>
      </c>
      <c r="B142" s="28">
        <f xml:space="preserve"> 2696</f>
        <v>2696</v>
      </c>
      <c r="C142" s="28">
        <f t="shared" si="0"/>
        <v>2696</v>
      </c>
      <c r="D142" s="28">
        <f t="shared" si="1"/>
        <v>2662</v>
      </c>
      <c r="E142" s="28">
        <f t="shared" si="2"/>
        <v>34</v>
      </c>
    </row>
    <row r="143" spans="1:5" ht="12.75" customHeight="1" x14ac:dyDescent="0.25">
      <c r="A143" s="23" t="s">
        <v>137</v>
      </c>
      <c r="B143" s="26"/>
      <c r="C143" s="26"/>
      <c r="D143" s="26">
        <f>C142</f>
        <v>2696</v>
      </c>
      <c r="E143" s="26"/>
    </row>
    <row r="144" spans="1:5" ht="12.75" customHeight="1" x14ac:dyDescent="0.25">
      <c r="A144" s="23" t="s">
        <v>138</v>
      </c>
      <c r="B144" s="26"/>
      <c r="C144" s="26"/>
      <c r="D144" s="26">
        <f>C142</f>
        <v>2696</v>
      </c>
      <c r="E144" s="26"/>
    </row>
    <row r="145" spans="1:5" ht="12.75" customHeight="1" x14ac:dyDescent="0.25">
      <c r="A145" s="23" t="s">
        <v>139</v>
      </c>
      <c r="B145" s="26"/>
      <c r="C145" s="26"/>
      <c r="D145" s="26">
        <f>C142</f>
        <v>2696</v>
      </c>
      <c r="E145" s="26"/>
    </row>
    <row r="146" spans="1:5" ht="12.75" customHeight="1" x14ac:dyDescent="0.25">
      <c r="A146" s="23" t="s">
        <v>140</v>
      </c>
      <c r="B146" s="26"/>
      <c r="C146" s="26"/>
      <c r="D146" s="26">
        <f>C142</f>
        <v>2696</v>
      </c>
      <c r="E146" s="26"/>
    </row>
    <row r="147" spans="1:5" ht="12.75" customHeight="1" x14ac:dyDescent="0.25">
      <c r="A147" s="23" t="s">
        <v>141</v>
      </c>
      <c r="B147" s="26"/>
      <c r="C147" s="26"/>
      <c r="D147" s="26">
        <f>C142</f>
        <v>2696</v>
      </c>
      <c r="E147" s="26"/>
    </row>
    <row r="148" spans="1:5" ht="12.75" customHeight="1" x14ac:dyDescent="0.25">
      <c r="A148" s="23" t="s">
        <v>142</v>
      </c>
      <c r="B148" s="26"/>
      <c r="C148" s="26"/>
      <c r="D148" s="26">
        <f>C142</f>
        <v>2696</v>
      </c>
      <c r="E148" s="26"/>
    </row>
    <row r="149" spans="1:5" ht="12.75" customHeight="1" x14ac:dyDescent="0.25">
      <c r="A149" s="23" t="s">
        <v>143</v>
      </c>
      <c r="B149" s="26"/>
      <c r="C149" s="26"/>
      <c r="D149" s="26">
        <f>C142</f>
        <v>2696</v>
      </c>
      <c r="E149" s="26"/>
    </row>
    <row r="150" spans="1:5" ht="12.75" customHeight="1" x14ac:dyDescent="0.25">
      <c r="A150" s="23" t="s">
        <v>144</v>
      </c>
      <c r="B150" s="26"/>
      <c r="C150" s="26"/>
      <c r="D150" s="26">
        <f>C142</f>
        <v>2696</v>
      </c>
      <c r="E150" s="26"/>
    </row>
    <row r="151" spans="1:5" ht="12.75" customHeight="1" x14ac:dyDescent="0.25">
      <c r="A151" s="23" t="s">
        <v>145</v>
      </c>
      <c r="B151" s="26"/>
      <c r="C151" s="26"/>
      <c r="D151" s="26">
        <f>C142</f>
        <v>2696</v>
      </c>
      <c r="E151" s="26"/>
    </row>
    <row r="152" spans="1:5" ht="12.75" customHeight="1" x14ac:dyDescent="0.25">
      <c r="A152" s="23" t="s">
        <v>146</v>
      </c>
      <c r="B152" s="26"/>
      <c r="C152" s="26"/>
      <c r="D152" s="26">
        <f>C142</f>
        <v>2696</v>
      </c>
      <c r="E152" s="26"/>
    </row>
    <row r="153" spans="1:5" ht="12.75" customHeight="1" x14ac:dyDescent="0.25">
      <c r="A153" s="23" t="s">
        <v>147</v>
      </c>
      <c r="B153" s="26"/>
      <c r="C153" s="26"/>
      <c r="D153" s="26">
        <f>C142</f>
        <v>2696</v>
      </c>
      <c r="E153" s="26"/>
    </row>
    <row r="154" spans="1:5" ht="12.75" customHeight="1" x14ac:dyDescent="0.25">
      <c r="A154" s="23" t="s">
        <v>148</v>
      </c>
      <c r="B154" s="26"/>
      <c r="C154" s="26"/>
      <c r="D154" s="26">
        <f>C142</f>
        <v>2696</v>
      </c>
      <c r="E154" s="26"/>
    </row>
  </sheetData>
  <phoneticPr fontId="1" type="noConversion"/>
  <pageMargins left="0.75" right="0.75" top="1" bottom="1" header="0.5" footer="0.5"/>
  <pageSetup orientation="portrait" blackAndWhite="1" horizontalDpi="300" verticalDpi="300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5"/>
  <sheetViews>
    <sheetView showGridLines="0" workbookViewId="0"/>
  </sheetViews>
  <sheetFormatPr defaultColWidth="12.7109375" defaultRowHeight="15" x14ac:dyDescent="0.25"/>
  <cols>
    <col min="1" max="1" width="29.28515625" style="1" bestFit="1" customWidth="1"/>
    <col min="2" max="2" width="18.140625" style="1" bestFit="1" customWidth="1"/>
    <col min="3" max="6" width="12.7109375" style="1" customWidth="1"/>
    <col min="7" max="16384" width="12.7109375" style="1"/>
  </cols>
  <sheetData>
    <row r="1" spans="1:2" s="4" customFormat="1" ht="18" x14ac:dyDescent="0.25">
      <c r="A1" s="15" t="s">
        <v>41</v>
      </c>
      <c r="B1" s="18" t="s">
        <v>42</v>
      </c>
    </row>
    <row r="2" spans="1:2" s="4" customFormat="1" x14ac:dyDescent="0.25">
      <c r="A2" s="16" t="s">
        <v>43</v>
      </c>
      <c r="B2" s="18" t="s">
        <v>49</v>
      </c>
    </row>
    <row r="3" spans="1:2" s="4" customFormat="1" x14ac:dyDescent="0.25">
      <c r="A3" s="16" t="s">
        <v>45</v>
      </c>
      <c r="B3" s="18" t="s">
        <v>75</v>
      </c>
    </row>
    <row r="4" spans="1:2" s="4" customFormat="1" x14ac:dyDescent="0.25">
      <c r="A4" s="16" t="s">
        <v>46</v>
      </c>
      <c r="B4" s="18" t="s">
        <v>76</v>
      </c>
    </row>
    <row r="5" spans="1:2" s="5" customFormat="1" x14ac:dyDescent="0.25">
      <c r="A5" s="17" t="s">
        <v>47</v>
      </c>
      <c r="B5" s="19" t="s">
        <v>48</v>
      </c>
    </row>
    <row r="7" spans="1:2" ht="12.75" customHeight="1" x14ac:dyDescent="0.25">
      <c r="A7" s="24"/>
      <c r="B7" s="21"/>
    </row>
    <row r="8" spans="1:2" ht="12.75" customHeight="1" thickBot="1" x14ac:dyDescent="0.3">
      <c r="A8" s="25" t="s">
        <v>62</v>
      </c>
      <c r="B8" s="22"/>
    </row>
    <row r="9" spans="1:2" ht="12.75" customHeight="1" thickTop="1" x14ac:dyDescent="0.25">
      <c r="A9" s="23" t="s">
        <v>60</v>
      </c>
      <c r="B9" s="30">
        <v>0.90055224433102632</v>
      </c>
    </row>
    <row r="10" spans="1:2" ht="12.75" customHeight="1" x14ac:dyDescent="0.25">
      <c r="A10" s="23" t="s">
        <v>64</v>
      </c>
      <c r="B10" s="30">
        <v>5.130402385860347E-5</v>
      </c>
    </row>
    <row r="11" spans="1:2" ht="12.75" customHeight="1" x14ac:dyDescent="0.25"/>
    <row r="12" spans="1:2" ht="12.75" customHeight="1" x14ac:dyDescent="0.25">
      <c r="A12" s="24"/>
      <c r="B12" s="21"/>
    </row>
    <row r="13" spans="1:2" ht="12.75" customHeight="1" thickBot="1" x14ac:dyDescent="0.3">
      <c r="A13" s="25" t="s">
        <v>63</v>
      </c>
      <c r="B13" s="22"/>
    </row>
    <row r="14" spans="1:2" ht="12.75" customHeight="1" thickTop="1" x14ac:dyDescent="0.25">
      <c r="A14" s="23" t="s">
        <v>54</v>
      </c>
      <c r="B14" s="26">
        <f>_xll.StatMeanAbs(F85:F143)</f>
        <v>6.7668063967763468</v>
      </c>
    </row>
    <row r="15" spans="1:2" ht="12.75" customHeight="1" x14ac:dyDescent="0.25">
      <c r="A15" s="23" t="s">
        <v>55</v>
      </c>
      <c r="B15" s="26">
        <f>SQRT(SUMSQ(F85:F143)/_xll.StatCount(F85:F143))</f>
        <v>8.542725244514596</v>
      </c>
    </row>
    <row r="16" spans="1:2" ht="12.75" customHeight="1" x14ac:dyDescent="0.25">
      <c r="A16" s="23" t="s">
        <v>56</v>
      </c>
      <c r="B16" s="29">
        <f>_xll.StatPairMeanAbsQuotient(F85:F143,B85:B143)</f>
        <v>3.8783346786633848E-3</v>
      </c>
    </row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spans="1:6" ht="12.75" customHeight="1" x14ac:dyDescent="0.25"/>
    <row r="82" spans="1:6" ht="12.75" customHeight="1" x14ac:dyDescent="0.25">
      <c r="A82" s="24"/>
      <c r="B82" s="21"/>
      <c r="C82" s="21"/>
      <c r="D82" s="21"/>
      <c r="E82" s="21"/>
      <c r="F82" s="21"/>
    </row>
    <row r="83" spans="1:6" ht="12.75" customHeight="1" thickBot="1" x14ac:dyDescent="0.3">
      <c r="A83" s="25" t="s">
        <v>52</v>
      </c>
      <c r="B83" s="22" t="s">
        <v>1</v>
      </c>
      <c r="C83" s="22" t="s">
        <v>61</v>
      </c>
      <c r="D83" s="22" t="s">
        <v>65</v>
      </c>
      <c r="E83" s="22" t="s">
        <v>49</v>
      </c>
      <c r="F83" s="22" t="s">
        <v>57</v>
      </c>
    </row>
    <row r="84" spans="1:6" ht="12.75" customHeight="1" thickTop="1" x14ac:dyDescent="0.25">
      <c r="A84" s="23" t="s">
        <v>77</v>
      </c>
      <c r="B84" s="26">
        <f xml:space="preserve"> 1000</f>
        <v>1000</v>
      </c>
      <c r="C84" s="26">
        <f>B84</f>
        <v>1000</v>
      </c>
      <c r="D84" s="26">
        <f>(B143-B84)/60</f>
        <v>28.266666666666666</v>
      </c>
      <c r="E84" s="26"/>
      <c r="F84" s="26"/>
    </row>
    <row r="85" spans="1:6" ht="12.75" customHeight="1" x14ac:dyDescent="0.25">
      <c r="A85" s="23" t="s">
        <v>78</v>
      </c>
      <c r="B85" s="26">
        <f xml:space="preserve"> 1025</f>
        <v>1025</v>
      </c>
      <c r="C85" s="26">
        <f>$B$9*B85+(1-$B$9)*(C84+D84)</f>
        <v>1025.3248626685186</v>
      </c>
      <c r="D85" s="26">
        <f>$B$10*(C85-C84)+(1-$B$10)*D84</f>
        <v>28.266515740284159</v>
      </c>
      <c r="E85" s="26">
        <f>C84+D84</f>
        <v>1028.2666666666667</v>
      </c>
      <c r="F85" s="26">
        <f>B85-E85</f>
        <v>-3.2666666666666515</v>
      </c>
    </row>
    <row r="86" spans="1:6" ht="12.75" customHeight="1" x14ac:dyDescent="0.25">
      <c r="A86" s="23" t="s">
        <v>79</v>
      </c>
      <c r="B86" s="26">
        <f xml:space="preserve"> 1066</f>
        <v>1066</v>
      </c>
      <c r="C86" s="26">
        <f t="shared" ref="C86:C143" si="0">$B$9*B86+(1-$B$9)*(C85+D85)</f>
        <v>1064.76599043181</v>
      </c>
      <c r="D86" s="26">
        <f t="shared" ref="D86:D143" si="1">$B$10*(C86-C85)+(1-$B$10)*D85</f>
        <v>28.267089042845999</v>
      </c>
      <c r="E86" s="26">
        <f t="shared" ref="E86:E143" si="2">C85+D85</f>
        <v>1053.5913784088027</v>
      </c>
      <c r="F86" s="26">
        <f t="shared" ref="F86:F143" si="3">B86-E86</f>
        <v>12.408621591197289</v>
      </c>
    </row>
    <row r="87" spans="1:6" ht="12.75" customHeight="1" x14ac:dyDescent="0.25">
      <c r="A87" s="23" t="s">
        <v>80</v>
      </c>
      <c r="B87" s="26">
        <f xml:space="preserve"> 1107</f>
        <v>1107</v>
      </c>
      <c r="C87" s="26">
        <f t="shared" si="0"/>
        <v>1105.6110211001476</v>
      </c>
      <c r="D87" s="26">
        <f t="shared" si="1"/>
        <v>28.267734341863246</v>
      </c>
      <c r="E87" s="26">
        <f t="shared" si="2"/>
        <v>1093.033079474656</v>
      </c>
      <c r="F87" s="26">
        <f t="shared" si="3"/>
        <v>13.966920525343994</v>
      </c>
    </row>
    <row r="88" spans="1:6" ht="12.75" customHeight="1" x14ac:dyDescent="0.25">
      <c r="A88" s="23" t="s">
        <v>81</v>
      </c>
      <c r="B88" s="26">
        <f xml:space="preserve"> 1148</f>
        <v>1148</v>
      </c>
      <c r="C88" s="26">
        <f t="shared" si="0"/>
        <v>1146.5956739214553</v>
      </c>
      <c r="D88" s="26">
        <f t="shared" si="1"/>
        <v>28.268386770952326</v>
      </c>
      <c r="E88" s="26">
        <f t="shared" si="2"/>
        <v>1133.8787554420107</v>
      </c>
      <c r="F88" s="26">
        <f t="shared" si="3"/>
        <v>14.121244557989257</v>
      </c>
    </row>
    <row r="89" spans="1:6" ht="12.75" customHeight="1" x14ac:dyDescent="0.25">
      <c r="A89" s="23" t="s">
        <v>82</v>
      </c>
      <c r="B89" s="26">
        <f xml:space="preserve"> 1172</f>
        <v>1172</v>
      </c>
      <c r="C89" s="26">
        <f t="shared" si="0"/>
        <v>1172.2848244079596</v>
      </c>
      <c r="D89" s="26">
        <f t="shared" si="1"/>
        <v>28.268254445752454</v>
      </c>
      <c r="E89" s="26">
        <f t="shared" si="2"/>
        <v>1174.8640606924075</v>
      </c>
      <c r="F89" s="26">
        <f t="shared" si="3"/>
        <v>-2.86406069240752</v>
      </c>
    </row>
    <row r="90" spans="1:6" ht="12.75" customHeight="1" x14ac:dyDescent="0.25">
      <c r="A90" s="23" t="s">
        <v>83</v>
      </c>
      <c r="B90" s="26">
        <f xml:space="preserve"> 1200</f>
        <v>1200</v>
      </c>
      <c r="C90" s="26">
        <f t="shared" si="0"/>
        <v>1200.0550024507097</v>
      </c>
      <c r="D90" s="26">
        <f t="shared" si="1"/>
        <v>28.268228892428791</v>
      </c>
      <c r="E90" s="26">
        <f t="shared" si="2"/>
        <v>1200.5530788537121</v>
      </c>
      <c r="F90" s="26">
        <f t="shared" si="3"/>
        <v>-0.55307885371212251</v>
      </c>
    </row>
    <row r="91" spans="1:6" ht="12.75" customHeight="1" x14ac:dyDescent="0.25">
      <c r="A91" s="23" t="s">
        <v>84</v>
      </c>
      <c r="B91" s="26">
        <f xml:space="preserve"> 1229</f>
        <v>1229</v>
      </c>
      <c r="C91" s="26">
        <f t="shared" si="0"/>
        <v>1228.9326968759681</v>
      </c>
      <c r="D91" s="26">
        <f t="shared" si="1"/>
        <v>28.268260160463029</v>
      </c>
      <c r="E91" s="26">
        <f t="shared" si="2"/>
        <v>1228.3232313431386</v>
      </c>
      <c r="F91" s="26">
        <f t="shared" si="3"/>
        <v>0.67676865686144083</v>
      </c>
    </row>
    <row r="92" spans="1:6" ht="12.75" customHeight="1" x14ac:dyDescent="0.25">
      <c r="A92" s="23" t="s">
        <v>85</v>
      </c>
      <c r="B92" s="26">
        <f xml:space="preserve"> 1251</f>
        <v>1251</v>
      </c>
      <c r="C92" s="26">
        <f t="shared" si="0"/>
        <v>1251.6166712602728</v>
      </c>
      <c r="D92" s="26">
        <f t="shared" si="1"/>
        <v>28.267973664132334</v>
      </c>
      <c r="E92" s="26">
        <f t="shared" si="2"/>
        <v>1257.2009570364312</v>
      </c>
      <c r="F92" s="26">
        <f t="shared" si="3"/>
        <v>-6.2009570364311912</v>
      </c>
    </row>
    <row r="93" spans="1:6" ht="12.75" customHeight="1" x14ac:dyDescent="0.25">
      <c r="A93" s="23" t="s">
        <v>86</v>
      </c>
      <c r="B93" s="26">
        <f xml:space="preserve"> 1279</f>
        <v>1279</v>
      </c>
      <c r="C93" s="26">
        <f t="shared" si="0"/>
        <v>1279.0879759522961</v>
      </c>
      <c r="D93" s="26">
        <f t="shared" si="1"/>
        <v>28.267932791808384</v>
      </c>
      <c r="E93" s="26">
        <f t="shared" si="2"/>
        <v>1279.8846449244052</v>
      </c>
      <c r="F93" s="26">
        <f t="shared" si="3"/>
        <v>-0.88464492440516551</v>
      </c>
    </row>
    <row r="94" spans="1:6" ht="12.75" customHeight="1" x14ac:dyDescent="0.25">
      <c r="A94" s="23" t="s">
        <v>87</v>
      </c>
      <c r="B94" s="26">
        <f xml:space="preserve"> 1317</f>
        <v>1317</v>
      </c>
      <c r="C94" s="26">
        <f t="shared" si="0"/>
        <v>1316.0409167691346</v>
      </c>
      <c r="D94" s="26">
        <f t="shared" si="1"/>
        <v>28.268378367667314</v>
      </c>
      <c r="E94" s="26">
        <f t="shared" si="2"/>
        <v>1307.3559087441045</v>
      </c>
      <c r="F94" s="26">
        <f t="shared" si="3"/>
        <v>9.6440912558955461</v>
      </c>
    </row>
    <row r="95" spans="1:6" ht="12.75" customHeight="1" x14ac:dyDescent="0.25">
      <c r="A95" s="23" t="s">
        <v>88</v>
      </c>
      <c r="B95" s="26">
        <f xml:space="preserve"> 1336</f>
        <v>1336</v>
      </c>
      <c r="C95" s="26">
        <f t="shared" si="0"/>
        <v>1336.8263407525462</v>
      </c>
      <c r="D95" s="26">
        <f t="shared" si="1"/>
        <v>28.267994461997052</v>
      </c>
      <c r="E95" s="26">
        <f t="shared" si="2"/>
        <v>1344.3092951368019</v>
      </c>
      <c r="F95" s="26">
        <f t="shared" si="3"/>
        <v>-8.309295136801893</v>
      </c>
    </row>
    <row r="96" spans="1:6" ht="12.75" customHeight="1" x14ac:dyDescent="0.25">
      <c r="A96" s="23" t="s">
        <v>89</v>
      </c>
      <c r="B96" s="26">
        <f xml:space="preserve"> 1368</f>
        <v>1368</v>
      </c>
      <c r="C96" s="26">
        <f t="shared" si="0"/>
        <v>1367.71103815836</v>
      </c>
      <c r="D96" s="26">
        <f t="shared" si="1"/>
        <v>28.268128709387312</v>
      </c>
      <c r="E96" s="26">
        <f t="shared" si="2"/>
        <v>1365.0943352145432</v>
      </c>
      <c r="F96" s="26">
        <f t="shared" si="3"/>
        <v>2.9056647854567927</v>
      </c>
    </row>
    <row r="97" spans="1:6" ht="12.75" customHeight="1" x14ac:dyDescent="0.25">
      <c r="A97" s="23" t="s">
        <v>90</v>
      </c>
      <c r="B97" s="26">
        <f xml:space="preserve"> 1380</f>
        <v>1380</v>
      </c>
      <c r="C97" s="26">
        <f t="shared" si="0"/>
        <v>1381.5890922824574</v>
      </c>
      <c r="D97" s="26">
        <f t="shared" si="1"/>
        <v>28.267390440657465</v>
      </c>
      <c r="E97" s="26">
        <f t="shared" si="2"/>
        <v>1395.9791668677474</v>
      </c>
      <c r="F97" s="26">
        <f t="shared" si="3"/>
        <v>-15.979166867747381</v>
      </c>
    </row>
    <row r="98" spans="1:6" ht="12.75" customHeight="1" x14ac:dyDescent="0.25">
      <c r="A98" s="23" t="s">
        <v>91</v>
      </c>
      <c r="B98" s="26">
        <f xml:space="preserve"> 1406</f>
        <v>1406</v>
      </c>
      <c r="C98" s="26">
        <f t="shared" si="0"/>
        <v>1406.38351855159</v>
      </c>
      <c r="D98" s="26">
        <f t="shared" si="1"/>
        <v>28.267212263620749</v>
      </c>
      <c r="E98" s="26">
        <f t="shared" si="2"/>
        <v>1409.8564827231148</v>
      </c>
      <c r="F98" s="26">
        <f t="shared" si="3"/>
        <v>-3.8564827231148229</v>
      </c>
    </row>
    <row r="99" spans="1:6" ht="12.75" customHeight="1" x14ac:dyDescent="0.25">
      <c r="A99" s="23" t="s">
        <v>92</v>
      </c>
      <c r="B99" s="26">
        <f xml:space="preserve"> 1439</f>
        <v>1439</v>
      </c>
      <c r="C99" s="26">
        <f t="shared" si="0"/>
        <v>1438.5674749407724</v>
      </c>
      <c r="D99" s="26">
        <f t="shared" si="1"/>
        <v>28.267413208354817</v>
      </c>
      <c r="E99" s="26">
        <f t="shared" si="2"/>
        <v>1434.6507308152106</v>
      </c>
      <c r="F99" s="26">
        <f t="shared" si="3"/>
        <v>4.3492691847893639</v>
      </c>
    </row>
    <row r="100" spans="1:6" ht="12.75" customHeight="1" x14ac:dyDescent="0.25">
      <c r="A100" s="23" t="s">
        <v>93</v>
      </c>
      <c r="B100" s="26">
        <f xml:space="preserve"> 1474</f>
        <v>1474</v>
      </c>
      <c r="C100" s="26">
        <f t="shared" si="0"/>
        <v>1473.2874457073135</v>
      </c>
      <c r="D100" s="26">
        <f t="shared" si="1"/>
        <v>28.26774425052173</v>
      </c>
      <c r="E100" s="26">
        <f t="shared" si="2"/>
        <v>1466.8348881491272</v>
      </c>
      <c r="F100" s="26">
        <f t="shared" si="3"/>
        <v>7.1651118508727905</v>
      </c>
    </row>
    <row r="101" spans="1:6" ht="12.75" customHeight="1" x14ac:dyDescent="0.25">
      <c r="A101" s="23" t="s">
        <v>94</v>
      </c>
      <c r="B101" s="26">
        <f xml:space="preserve"> 1499</f>
        <v>1499</v>
      </c>
      <c r="C101" s="26">
        <f t="shared" si="0"/>
        <v>1499.2541079066145</v>
      </c>
      <c r="D101" s="26">
        <f t="shared" si="1"/>
        <v>28.267626195753273</v>
      </c>
      <c r="E101" s="26">
        <f t="shared" si="2"/>
        <v>1501.5551899578352</v>
      </c>
      <c r="F101" s="26">
        <f t="shared" si="3"/>
        <v>-2.5551899578351822</v>
      </c>
    </row>
    <row r="102" spans="1:6" ht="12.75" customHeight="1" x14ac:dyDescent="0.25">
      <c r="A102" s="23" t="s">
        <v>95</v>
      </c>
      <c r="B102" s="26">
        <f xml:space="preserve"> 1528</f>
        <v>1528</v>
      </c>
      <c r="C102" s="26">
        <f t="shared" si="0"/>
        <v>1527.9524375298674</v>
      </c>
      <c r="D102" s="26">
        <f t="shared" si="1"/>
        <v>28.267648292572193</v>
      </c>
      <c r="E102" s="26">
        <f t="shared" si="2"/>
        <v>1527.5217341023679</v>
      </c>
      <c r="F102" s="26">
        <f t="shared" si="3"/>
        <v>0.47826589763212723</v>
      </c>
    </row>
    <row r="103" spans="1:6" ht="12.75" customHeight="1" x14ac:dyDescent="0.25">
      <c r="A103" s="23" t="s">
        <v>96</v>
      </c>
      <c r="B103" s="26">
        <f xml:space="preserve"> 1541</f>
        <v>1541</v>
      </c>
      <c r="C103" s="26">
        <f t="shared" si="0"/>
        <v>1542.513603376131</v>
      </c>
      <c r="D103" s="26">
        <f t="shared" si="1"/>
        <v>28.266945094869751</v>
      </c>
      <c r="E103" s="26">
        <f t="shared" si="2"/>
        <v>1556.2200858224396</v>
      </c>
      <c r="F103" s="26">
        <f t="shared" si="3"/>
        <v>-15.220085822439614</v>
      </c>
    </row>
    <row r="104" spans="1:6" ht="12.75" customHeight="1" x14ac:dyDescent="0.25">
      <c r="A104" s="23" t="s">
        <v>97</v>
      </c>
      <c r="B104" s="26">
        <f xml:space="preserve"> 1570</f>
        <v>1570</v>
      </c>
      <c r="C104" s="26">
        <f t="shared" si="0"/>
        <v>1570.0776237936318</v>
      </c>
      <c r="D104" s="26">
        <f t="shared" si="1"/>
        <v>28.266909032005334</v>
      </c>
      <c r="E104" s="26">
        <f t="shared" si="2"/>
        <v>1570.7805484710007</v>
      </c>
      <c r="F104" s="26">
        <f t="shared" si="3"/>
        <v>-0.78054847100065672</v>
      </c>
    </row>
    <row r="105" spans="1:6" ht="12.75" customHeight="1" x14ac:dyDescent="0.25">
      <c r="A105" s="23" t="s">
        <v>98</v>
      </c>
      <c r="B105" s="26">
        <f xml:space="preserve"> 1608</f>
        <v>1608</v>
      </c>
      <c r="C105" s="26">
        <f t="shared" si="0"/>
        <v>1607.0397854595742</v>
      </c>
      <c r="D105" s="26">
        <f t="shared" si="1"/>
        <v>28.267355133453925</v>
      </c>
      <c r="E105" s="26">
        <f t="shared" si="2"/>
        <v>1598.3445328256371</v>
      </c>
      <c r="F105" s="26">
        <f t="shared" si="3"/>
        <v>9.6554671743629115</v>
      </c>
    </row>
    <row r="106" spans="1:6" ht="12.75" customHeight="1" x14ac:dyDescent="0.25">
      <c r="A106" s="23" t="s">
        <v>99</v>
      </c>
      <c r="B106" s="26">
        <f xml:space="preserve"> 1632</f>
        <v>1632</v>
      </c>
      <c r="C106" s="26">
        <f t="shared" si="0"/>
        <v>1632.3288877096584</v>
      </c>
      <c r="D106" s="26">
        <f t="shared" si="1"/>
        <v>28.26720233709694</v>
      </c>
      <c r="E106" s="26">
        <f t="shared" si="2"/>
        <v>1635.3071405930282</v>
      </c>
      <c r="F106" s="26">
        <f t="shared" si="3"/>
        <v>-3.3071405930281799</v>
      </c>
    </row>
    <row r="107" spans="1:6" ht="12.75" customHeight="1" x14ac:dyDescent="0.25">
      <c r="A107" s="23" t="s">
        <v>100</v>
      </c>
      <c r="B107" s="26">
        <f xml:space="preserve"> 1661</f>
        <v>1661</v>
      </c>
      <c r="C107" s="26">
        <f t="shared" si="0"/>
        <v>1660.9598320616574</v>
      </c>
      <c r="D107" s="26">
        <f t="shared" si="1"/>
        <v>28.267220998525953</v>
      </c>
      <c r="E107" s="26">
        <f t="shared" si="2"/>
        <v>1660.5960900467553</v>
      </c>
      <c r="F107" s="26">
        <f t="shared" si="3"/>
        <v>0.40390995324469259</v>
      </c>
    </row>
    <row r="108" spans="1:6" ht="12.75" customHeight="1" x14ac:dyDescent="0.25">
      <c r="A108" s="23" t="s">
        <v>101</v>
      </c>
      <c r="B108" s="26">
        <f xml:space="preserve"> 1701</f>
        <v>1701</v>
      </c>
      <c r="C108" s="26">
        <f t="shared" si="0"/>
        <v>1699.8292068492253</v>
      </c>
      <c r="D108" s="26">
        <f t="shared" si="1"/>
        <v>28.267764931676901</v>
      </c>
      <c r="E108" s="26">
        <f t="shared" si="2"/>
        <v>1689.2270530601834</v>
      </c>
      <c r="F108" s="26">
        <f t="shared" si="3"/>
        <v>11.77294693981662</v>
      </c>
    </row>
    <row r="109" spans="1:6" ht="12.75" customHeight="1" x14ac:dyDescent="0.25">
      <c r="A109" s="23" t="s">
        <v>102</v>
      </c>
      <c r="B109" s="26">
        <f xml:space="preserve"> 1732</f>
        <v>1732</v>
      </c>
      <c r="C109" s="26">
        <f t="shared" si="0"/>
        <v>1731.6118526032981</v>
      </c>
      <c r="D109" s="26">
        <f t="shared" si="1"/>
        <v>28.267945259206474</v>
      </c>
      <c r="E109" s="26">
        <f t="shared" si="2"/>
        <v>1728.0969717809023</v>
      </c>
      <c r="F109" s="26">
        <f t="shared" si="3"/>
        <v>3.9030282190976777</v>
      </c>
    </row>
    <row r="110" spans="1:6" ht="12.75" customHeight="1" x14ac:dyDescent="0.25">
      <c r="A110" s="23" t="s">
        <v>103</v>
      </c>
      <c r="B110" s="26">
        <f xml:space="preserve"> 1758</f>
        <v>1758</v>
      </c>
      <c r="C110" s="26">
        <f t="shared" si="0"/>
        <v>1758.1869416785373</v>
      </c>
      <c r="D110" s="26">
        <f t="shared" si="1"/>
        <v>28.267858408872424</v>
      </c>
      <c r="E110" s="26">
        <f t="shared" si="2"/>
        <v>1759.8797978625046</v>
      </c>
      <c r="F110" s="26">
        <f t="shared" si="3"/>
        <v>-1.8797978625045744</v>
      </c>
    </row>
    <row r="111" spans="1:6" ht="12.75" customHeight="1" x14ac:dyDescent="0.25">
      <c r="A111" s="23" t="s">
        <v>104</v>
      </c>
      <c r="B111" s="26">
        <f xml:space="preserve"> 1774</f>
        <v>1774</v>
      </c>
      <c r="C111" s="26">
        <f t="shared" si="0"/>
        <v>1775.2386019159985</v>
      </c>
      <c r="D111" s="26">
        <f t="shared" si="1"/>
        <v>28.267282972773835</v>
      </c>
      <c r="E111" s="26">
        <f t="shared" si="2"/>
        <v>1786.4548000874097</v>
      </c>
      <c r="F111" s="26">
        <f t="shared" si="3"/>
        <v>-12.454800087409694</v>
      </c>
    </row>
    <row r="112" spans="1:6" ht="12.75" customHeight="1" x14ac:dyDescent="0.25">
      <c r="A112" s="23" t="s">
        <v>105</v>
      </c>
      <c r="B112" s="26">
        <f xml:space="preserve"> 1808</f>
        <v>1808</v>
      </c>
      <c r="C112" s="26">
        <f t="shared" si="0"/>
        <v>1807.5530703384704</v>
      </c>
      <c r="D112" s="26">
        <f t="shared" si="1"/>
        <v>28.267490609672706</v>
      </c>
      <c r="E112" s="26">
        <f t="shared" si="2"/>
        <v>1803.5058848887722</v>
      </c>
      <c r="F112" s="26">
        <f t="shared" si="3"/>
        <v>4.4941151112277566</v>
      </c>
    </row>
    <row r="113" spans="1:6" ht="12.75" customHeight="1" x14ac:dyDescent="0.25">
      <c r="A113" s="23" t="s">
        <v>106</v>
      </c>
      <c r="B113" s="26">
        <f xml:space="preserve"> 1827</f>
        <v>1827</v>
      </c>
      <c r="C113" s="26">
        <f t="shared" si="0"/>
        <v>1827.8771849900343</v>
      </c>
      <c r="D113" s="26">
        <f t="shared" si="1"/>
        <v>28.267083082523037</v>
      </c>
      <c r="E113" s="26">
        <f t="shared" si="2"/>
        <v>1835.8205609481431</v>
      </c>
      <c r="F113" s="26">
        <f t="shared" si="3"/>
        <v>-8.8205609481431111</v>
      </c>
    </row>
    <row r="114" spans="1:6" ht="12.75" customHeight="1" x14ac:dyDescent="0.25">
      <c r="A114" s="23" t="s">
        <v>107</v>
      </c>
      <c r="B114" s="26">
        <f xml:space="preserve"> 1844</f>
        <v>1844</v>
      </c>
      <c r="C114" s="26">
        <f t="shared" si="0"/>
        <v>1845.2077202040582</v>
      </c>
      <c r="D114" s="26">
        <f t="shared" si="1"/>
        <v>28.266521993610262</v>
      </c>
      <c r="E114" s="26">
        <f t="shared" si="2"/>
        <v>1856.1442680725572</v>
      </c>
      <c r="F114" s="26">
        <f t="shared" si="3"/>
        <v>-12.144268072557225</v>
      </c>
    </row>
    <row r="115" spans="1:6" ht="12.75" customHeight="1" x14ac:dyDescent="0.25">
      <c r="A115" s="23" t="s">
        <v>108</v>
      </c>
      <c r="B115" s="26">
        <f xml:space="preserve"> 1871</f>
        <v>1871</v>
      </c>
      <c r="C115" s="26">
        <f t="shared" si="0"/>
        <v>1871.2460578335395</v>
      </c>
      <c r="D115" s="26">
        <f t="shared" si="1"/>
        <v>28.266407678786482</v>
      </c>
      <c r="E115" s="26">
        <f t="shared" si="2"/>
        <v>1873.4742421976684</v>
      </c>
      <c r="F115" s="26">
        <f t="shared" si="3"/>
        <v>-2.4742421976684454</v>
      </c>
    </row>
    <row r="116" spans="1:6" ht="12.75" customHeight="1" x14ac:dyDescent="0.25">
      <c r="A116" s="23" t="s">
        <v>109</v>
      </c>
      <c r="B116" s="26">
        <f xml:space="preserve"> 1898</f>
        <v>1898</v>
      </c>
      <c r="C116" s="26">
        <f t="shared" si="0"/>
        <v>1898.1504113007275</v>
      </c>
      <c r="D116" s="26">
        <f t="shared" si="1"/>
        <v>28.266337799924717</v>
      </c>
      <c r="E116" s="26">
        <f t="shared" si="2"/>
        <v>1899.5124655123259</v>
      </c>
      <c r="F116" s="26">
        <f t="shared" si="3"/>
        <v>-1.512465512325889</v>
      </c>
    </row>
    <row r="117" spans="1:6" ht="12.75" customHeight="1" x14ac:dyDescent="0.25">
      <c r="A117" s="23" t="s">
        <v>110</v>
      </c>
      <c r="B117" s="26">
        <f xml:space="preserve"> 1908</f>
        <v>1908</v>
      </c>
      <c r="C117" s="26">
        <f t="shared" si="0"/>
        <v>1909.8315043647783</v>
      </c>
      <c r="D117" s="26">
        <f t="shared" si="1"/>
        <v>28.265486910133088</v>
      </c>
      <c r="E117" s="26">
        <f t="shared" si="2"/>
        <v>1926.4167491006522</v>
      </c>
      <c r="F117" s="26">
        <f t="shared" si="3"/>
        <v>-18.416749100652169</v>
      </c>
    </row>
    <row r="118" spans="1:6" ht="12.75" customHeight="1" x14ac:dyDescent="0.25">
      <c r="A118" s="23" t="s">
        <v>111</v>
      </c>
      <c r="B118" s="26">
        <f xml:space="preserve"> 1934</f>
        <v>1934</v>
      </c>
      <c r="C118" s="26">
        <f t="shared" si="0"/>
        <v>1934.4074365872852</v>
      </c>
      <c r="D118" s="26">
        <f t="shared" si="1"/>
        <v>28.265297621131371</v>
      </c>
      <c r="E118" s="26">
        <f t="shared" si="2"/>
        <v>1938.0969912749115</v>
      </c>
      <c r="F118" s="26">
        <f t="shared" si="3"/>
        <v>-4.0969912749114883</v>
      </c>
    </row>
    <row r="119" spans="1:6" ht="12.75" customHeight="1" x14ac:dyDescent="0.25">
      <c r="A119" s="23" t="s">
        <v>112</v>
      </c>
      <c r="B119" s="26">
        <f xml:space="preserve"> 1968</f>
        <v>1968</v>
      </c>
      <c r="C119" s="26">
        <f t="shared" si="0"/>
        <v>1967.4702153731748</v>
      </c>
      <c r="D119" s="26">
        <f t="shared" si="1"/>
        <v>28.265543751219511</v>
      </c>
      <c r="E119" s="26">
        <f t="shared" si="2"/>
        <v>1962.6727342084166</v>
      </c>
      <c r="F119" s="26">
        <f t="shared" si="3"/>
        <v>5.3272657915833861</v>
      </c>
    </row>
    <row r="120" spans="1:6" ht="12.75" customHeight="1" x14ac:dyDescent="0.25">
      <c r="A120" s="23" t="s">
        <v>113</v>
      </c>
      <c r="B120" s="26">
        <f xml:space="preserve"> 1986</f>
        <v>1986</v>
      </c>
      <c r="C120" s="26">
        <f t="shared" si="0"/>
        <v>1986.9681993946547</v>
      </c>
      <c r="D120" s="26">
        <f t="shared" si="1"/>
        <v>28.265093940125954</v>
      </c>
      <c r="E120" s="26">
        <f t="shared" si="2"/>
        <v>1995.7357591243942</v>
      </c>
      <c r="F120" s="26">
        <f t="shared" si="3"/>
        <v>-9.7357591243942352</v>
      </c>
    </row>
    <row r="121" spans="1:6" ht="12.75" customHeight="1" x14ac:dyDescent="0.25">
      <c r="A121" s="23" t="s">
        <v>114</v>
      </c>
      <c r="B121" s="26">
        <f xml:space="preserve"> 2021</f>
        <v>2021</v>
      </c>
      <c r="C121" s="26">
        <f t="shared" si="0"/>
        <v>2020.4265139645424</v>
      </c>
      <c r="D121" s="26">
        <f t="shared" si="1"/>
        <v>28.265360373241048</v>
      </c>
      <c r="E121" s="26">
        <f t="shared" si="2"/>
        <v>2015.2332933347807</v>
      </c>
      <c r="F121" s="26">
        <f t="shared" si="3"/>
        <v>5.7667066652193171</v>
      </c>
    </row>
    <row r="122" spans="1:6" ht="12.75" customHeight="1" x14ac:dyDescent="0.25">
      <c r="A122" s="23" t="s">
        <v>115</v>
      </c>
      <c r="B122" s="26">
        <f xml:space="preserve"> 2056</f>
        <v>2056</v>
      </c>
      <c r="C122" s="26">
        <f t="shared" si="0"/>
        <v>2055.2732233047459</v>
      </c>
      <c r="D122" s="26">
        <f t="shared" si="1"/>
        <v>28.26569802292547</v>
      </c>
      <c r="E122" s="26">
        <f t="shared" si="2"/>
        <v>2048.6918743377837</v>
      </c>
      <c r="F122" s="26">
        <f t="shared" si="3"/>
        <v>7.3081256622162982</v>
      </c>
    </row>
    <row r="123" spans="1:6" ht="12.75" customHeight="1" x14ac:dyDescent="0.25">
      <c r="A123" s="23" t="s">
        <v>116</v>
      </c>
      <c r="B123" s="26">
        <f xml:space="preserve"> 2095</f>
        <v>2095</v>
      </c>
      <c r="C123" s="26">
        <f t="shared" si="0"/>
        <v>2093.8602214484913</v>
      </c>
      <c r="D123" s="26">
        <f t="shared" si="1"/>
        <v>28.266227547153122</v>
      </c>
      <c r="E123" s="26">
        <f t="shared" si="2"/>
        <v>2083.5389213276712</v>
      </c>
      <c r="F123" s="26">
        <f t="shared" si="3"/>
        <v>11.461078672328767</v>
      </c>
    </row>
    <row r="124" spans="1:6" ht="12.75" customHeight="1" x14ac:dyDescent="0.25">
      <c r="A124" s="23" t="s">
        <v>117</v>
      </c>
      <c r="B124" s="26">
        <f xml:space="preserve"> 2122</f>
        <v>2122</v>
      </c>
      <c r="C124" s="26">
        <f t="shared" si="0"/>
        <v>2122.0125750688235</v>
      </c>
      <c r="D124" s="26">
        <f t="shared" si="1"/>
        <v>28.266221704962462</v>
      </c>
      <c r="E124" s="26">
        <f t="shared" si="2"/>
        <v>2122.1264489956443</v>
      </c>
      <c r="F124" s="26">
        <f t="shared" si="3"/>
        <v>-0.12644899564429579</v>
      </c>
    </row>
    <row r="125" spans="1:6" ht="12.75" customHeight="1" x14ac:dyDescent="0.25">
      <c r="A125" s="23" t="s">
        <v>118</v>
      </c>
      <c r="B125" s="26">
        <f xml:space="preserve"> 2143</f>
        <v>2143</v>
      </c>
      <c r="C125" s="26">
        <f t="shared" si="0"/>
        <v>2143.7238600031237</v>
      </c>
      <c r="D125" s="26">
        <f t="shared" si="1"/>
        <v>28.265885410329989</v>
      </c>
      <c r="E125" s="26">
        <f t="shared" si="2"/>
        <v>2150.2787967737859</v>
      </c>
      <c r="F125" s="26">
        <f t="shared" si="3"/>
        <v>-7.2787967737858708</v>
      </c>
    </row>
    <row r="126" spans="1:6" ht="12.75" customHeight="1" x14ac:dyDescent="0.25">
      <c r="A126" s="23" t="s">
        <v>119</v>
      </c>
      <c r="B126" s="26">
        <f xml:space="preserve"> 2168</f>
        <v>2168</v>
      </c>
      <c r="C126" s="26">
        <f t="shared" si="0"/>
        <v>2168.3967712270587</v>
      </c>
      <c r="D126" s="26">
        <f t="shared" si="1"/>
        <v>28.265701076296608</v>
      </c>
      <c r="E126" s="26">
        <f t="shared" si="2"/>
        <v>2171.9897454134539</v>
      </c>
      <c r="F126" s="26">
        <f t="shared" si="3"/>
        <v>-3.9897454134538748</v>
      </c>
    </row>
    <row r="127" spans="1:6" ht="12.75" customHeight="1" x14ac:dyDescent="0.25">
      <c r="A127" s="23" t="s">
        <v>120</v>
      </c>
      <c r="B127" s="26">
        <f xml:space="preserve"> 2207</f>
        <v>2207</v>
      </c>
      <c r="C127" s="26">
        <f t="shared" si="0"/>
        <v>2205.9719560714029</v>
      </c>
      <c r="D127" s="26">
        <f t="shared" si="1"/>
        <v>28.266178690273957</v>
      </c>
      <c r="E127" s="26">
        <f t="shared" si="2"/>
        <v>2196.6624723033551</v>
      </c>
      <c r="F127" s="26">
        <f t="shared" si="3"/>
        <v>10.337527696644884</v>
      </c>
    </row>
    <row r="128" spans="1:6" ht="12.75" customHeight="1" x14ac:dyDescent="0.25">
      <c r="A128" s="23" t="s">
        <v>121</v>
      </c>
      <c r="B128" s="26">
        <f xml:space="preserve"> 2226</f>
        <v>2226</v>
      </c>
      <c r="C128" s="26">
        <f t="shared" si="0"/>
        <v>2226.8192640129473</v>
      </c>
      <c r="D128" s="26">
        <f t="shared" si="1"/>
        <v>28.265798072352062</v>
      </c>
      <c r="E128" s="26">
        <f t="shared" si="2"/>
        <v>2234.238134761677</v>
      </c>
      <c r="F128" s="26">
        <f t="shared" si="3"/>
        <v>-8.2381347616769744</v>
      </c>
    </row>
    <row r="129" spans="1:6" ht="12.75" customHeight="1" x14ac:dyDescent="0.25">
      <c r="A129" s="23" t="s">
        <v>122</v>
      </c>
      <c r="B129" s="26">
        <f xml:space="preserve"> 2255</f>
        <v>2255</v>
      </c>
      <c r="C129" s="26">
        <f t="shared" si="0"/>
        <v>2255.0084592334756</v>
      </c>
      <c r="D129" s="26">
        <f t="shared" si="1"/>
        <v>28.265794142317528</v>
      </c>
      <c r="E129" s="26">
        <f t="shared" si="2"/>
        <v>2255.0850620852993</v>
      </c>
      <c r="F129" s="26">
        <f t="shared" si="3"/>
        <v>-8.5062085299341561E-2</v>
      </c>
    </row>
    <row r="130" spans="1:6" ht="12.75" customHeight="1" x14ac:dyDescent="0.25">
      <c r="A130" s="23" t="s">
        <v>123</v>
      </c>
      <c r="B130" s="26">
        <f xml:space="preserve"> 2283</f>
        <v>2283</v>
      </c>
      <c r="C130" s="26">
        <f t="shared" si="0"/>
        <v>2283.027273882707</v>
      </c>
      <c r="D130" s="26">
        <f t="shared" si="1"/>
        <v>28.265781471275723</v>
      </c>
      <c r="E130" s="26">
        <f t="shared" si="2"/>
        <v>2283.2742533757933</v>
      </c>
      <c r="F130" s="26">
        <f t="shared" si="3"/>
        <v>-0.2742533757932506</v>
      </c>
    </row>
    <row r="131" spans="1:6" ht="12.75" customHeight="1" x14ac:dyDescent="0.25">
      <c r="A131" s="23" t="s">
        <v>124</v>
      </c>
      <c r="B131" s="26">
        <f xml:space="preserve"> 2309</f>
        <v>2309</v>
      </c>
      <c r="C131" s="26">
        <f t="shared" si="0"/>
        <v>2309.2280392085786</v>
      </c>
      <c r="D131" s="26">
        <f t="shared" si="1"/>
        <v>28.26567552763813</v>
      </c>
      <c r="E131" s="26">
        <f t="shared" si="2"/>
        <v>2311.2930553539827</v>
      </c>
      <c r="F131" s="26">
        <f t="shared" si="3"/>
        <v>-2.2930553539827088</v>
      </c>
    </row>
    <row r="132" spans="1:6" ht="12.75" customHeight="1" x14ac:dyDescent="0.25">
      <c r="A132" s="23" t="s">
        <v>125</v>
      </c>
      <c r="B132" s="26">
        <f xml:space="preserve"> 2338</f>
        <v>2338</v>
      </c>
      <c r="C132" s="26">
        <f t="shared" si="0"/>
        <v>2337.9496510667882</v>
      </c>
      <c r="D132" s="26">
        <f t="shared" si="1"/>
        <v>28.265698919006514</v>
      </c>
      <c r="E132" s="26">
        <f t="shared" si="2"/>
        <v>2337.4937147362166</v>
      </c>
      <c r="F132" s="26">
        <f t="shared" si="3"/>
        <v>0.50628526378341121</v>
      </c>
    </row>
    <row r="133" spans="1:6" ht="12.75" customHeight="1" x14ac:dyDescent="0.25">
      <c r="A133" s="23" t="s">
        <v>126</v>
      </c>
      <c r="B133" s="26">
        <f xml:space="preserve"> 2382</f>
        <v>2382</v>
      </c>
      <c r="C133" s="26">
        <f t="shared" si="0"/>
        <v>2380.4302519820671</v>
      </c>
      <c r="D133" s="26">
        <f t="shared" si="1"/>
        <v>28.26642820067768</v>
      </c>
      <c r="E133" s="26">
        <f t="shared" si="2"/>
        <v>2366.2153499857945</v>
      </c>
      <c r="F133" s="26">
        <f t="shared" si="3"/>
        <v>15.784650014205454</v>
      </c>
    </row>
    <row r="134" spans="1:6" ht="12.75" customHeight="1" x14ac:dyDescent="0.25">
      <c r="A134" s="23" t="s">
        <v>127</v>
      </c>
      <c r="B134" s="26">
        <f xml:space="preserve"> 2400</f>
        <v>2400</v>
      </c>
      <c r="C134" s="26">
        <f t="shared" si="0"/>
        <v>2400.8648653259452</v>
      </c>
      <c r="D134" s="26">
        <f t="shared" si="1"/>
        <v>28.26602639706141</v>
      </c>
      <c r="E134" s="26">
        <f t="shared" si="2"/>
        <v>2408.6966801827448</v>
      </c>
      <c r="F134" s="26">
        <f t="shared" si="3"/>
        <v>-8.6966801827447853</v>
      </c>
    </row>
    <row r="135" spans="1:6" ht="12.75" customHeight="1" x14ac:dyDescent="0.25">
      <c r="A135" s="23" t="s">
        <v>128</v>
      </c>
      <c r="B135" s="26">
        <f xml:space="preserve"> 2452</f>
        <v>2452</v>
      </c>
      <c r="C135" s="26">
        <f t="shared" si="0"/>
        <v>2449.7257185077019</v>
      </c>
      <c r="D135" s="26">
        <f t="shared" si="1"/>
        <v>28.267082994546136</v>
      </c>
      <c r="E135" s="26">
        <f t="shared" si="2"/>
        <v>2429.1308917230067</v>
      </c>
      <c r="F135" s="26">
        <f t="shared" si="3"/>
        <v>22.869108276993302</v>
      </c>
    </row>
    <row r="136" spans="1:6" ht="12.75" customHeight="1" x14ac:dyDescent="0.25">
      <c r="A136" s="23" t="s">
        <v>129</v>
      </c>
      <c r="B136" s="26">
        <f xml:space="preserve"> 2486</f>
        <v>2486</v>
      </c>
      <c r="C136" s="26">
        <f t="shared" si="0"/>
        <v>2485.2037020802022</v>
      </c>
      <c r="D136" s="26">
        <f t="shared" si="1"/>
        <v>28.267452942761434</v>
      </c>
      <c r="E136" s="26">
        <f t="shared" si="2"/>
        <v>2477.9928015022479</v>
      </c>
      <c r="F136" s="26">
        <f t="shared" si="3"/>
        <v>8.0071984977521424</v>
      </c>
    </row>
    <row r="137" spans="1:6" ht="12.75" customHeight="1" x14ac:dyDescent="0.25">
      <c r="A137" s="23" t="s">
        <v>130</v>
      </c>
      <c r="B137" s="26">
        <f xml:space="preserve"> 2522</f>
        <v>2522</v>
      </c>
      <c r="C137" s="26">
        <f t="shared" si="0"/>
        <v>2521.1518255085853</v>
      </c>
      <c r="D137" s="26">
        <f t="shared" si="1"/>
        <v>28.26784699206328</v>
      </c>
      <c r="E137" s="26">
        <f t="shared" si="2"/>
        <v>2513.4711550229636</v>
      </c>
      <c r="F137" s="26">
        <f t="shared" si="3"/>
        <v>8.5288449770364423</v>
      </c>
    </row>
    <row r="138" spans="1:6" ht="12.75" customHeight="1" x14ac:dyDescent="0.25">
      <c r="A138" s="23" t="s">
        <v>131</v>
      </c>
      <c r="B138" s="26">
        <f xml:space="preserve"> 2547</f>
        <v>2547</v>
      </c>
      <c r="C138" s="26">
        <f t="shared" si="0"/>
        <v>2547.2406309996431</v>
      </c>
      <c r="D138" s="26">
        <f t="shared" si="1"/>
        <v>28.267735198466124</v>
      </c>
      <c r="E138" s="26">
        <f t="shared" si="2"/>
        <v>2549.4196725006486</v>
      </c>
      <c r="F138" s="26">
        <f t="shared" si="3"/>
        <v>-2.4196725006486304</v>
      </c>
    </row>
    <row r="139" spans="1:6" ht="12.75" customHeight="1" x14ac:dyDescent="0.25">
      <c r="A139" s="23" t="s">
        <v>132</v>
      </c>
      <c r="B139" s="26">
        <f xml:space="preserve"> 2570</f>
        <v>2570</v>
      </c>
      <c r="C139" s="26">
        <f t="shared" si="0"/>
        <v>2570.5477946558049</v>
      </c>
      <c r="D139" s="26">
        <f t="shared" si="1"/>
        <v>28.267480701185367</v>
      </c>
      <c r="E139" s="26">
        <f t="shared" si="2"/>
        <v>2575.5083661981093</v>
      </c>
      <c r="F139" s="26">
        <f t="shared" si="3"/>
        <v>-5.5083661981093428</v>
      </c>
    </row>
    <row r="140" spans="1:6" ht="12.75" customHeight="1" x14ac:dyDescent="0.25">
      <c r="A140" s="23" t="s">
        <v>133</v>
      </c>
      <c r="B140" s="26">
        <f xml:space="preserve"> 2611</f>
        <v>2611</v>
      </c>
      <c r="C140" s="26">
        <f t="shared" si="0"/>
        <v>2609.7882564808083</v>
      </c>
      <c r="D140" s="26">
        <f t="shared" si="1"/>
        <v>28.268043659270745</v>
      </c>
      <c r="E140" s="26">
        <f t="shared" si="2"/>
        <v>2598.8152753569902</v>
      </c>
      <c r="F140" s="26">
        <f t="shared" si="3"/>
        <v>12.184724643009758</v>
      </c>
    </row>
    <row r="141" spans="1:6" ht="12.75" customHeight="1" x14ac:dyDescent="0.25">
      <c r="A141" s="23" t="s">
        <v>134</v>
      </c>
      <c r="B141" s="26">
        <f xml:space="preserve"> 2628</f>
        <v>2628</v>
      </c>
      <c r="C141" s="26">
        <f t="shared" si="0"/>
        <v>2629.0000764792644</v>
      </c>
      <c r="D141" s="26">
        <f t="shared" si="1"/>
        <v>28.267579038555983</v>
      </c>
      <c r="E141" s="26">
        <f t="shared" si="2"/>
        <v>2638.0563001400792</v>
      </c>
      <c r="F141" s="26">
        <f t="shared" si="3"/>
        <v>-10.056300140079202</v>
      </c>
    </row>
    <row r="142" spans="1:6" ht="12.75" customHeight="1" x14ac:dyDescent="0.25">
      <c r="A142" s="23" t="s">
        <v>135</v>
      </c>
      <c r="B142" s="26">
        <f xml:space="preserve"> 2662</f>
        <v>2662</v>
      </c>
      <c r="C142" s="26">
        <f t="shared" si="0"/>
        <v>2661.5293789621946</v>
      </c>
      <c r="D142" s="26">
        <f t="shared" si="1"/>
        <v>28.267797682117255</v>
      </c>
      <c r="E142" s="26">
        <f t="shared" si="2"/>
        <v>2657.2676555178205</v>
      </c>
      <c r="F142" s="26">
        <f t="shared" si="3"/>
        <v>4.732344482179542</v>
      </c>
    </row>
    <row r="143" spans="1:6" ht="12.75" customHeight="1" x14ac:dyDescent="0.25">
      <c r="A143" s="27" t="s">
        <v>136</v>
      </c>
      <c r="B143" s="28">
        <f xml:space="preserve"> 2696</f>
        <v>2696</v>
      </c>
      <c r="C143" s="28">
        <f t="shared" si="0"/>
        <v>2695.3831431384656</v>
      </c>
      <c r="D143" s="28">
        <f t="shared" si="1"/>
        <v>28.268084264675544</v>
      </c>
      <c r="E143" s="28">
        <f t="shared" si="2"/>
        <v>2689.797176644312</v>
      </c>
      <c r="F143" s="28">
        <f t="shared" si="3"/>
        <v>6.2028233556879968</v>
      </c>
    </row>
    <row r="144" spans="1:6" ht="12.75" customHeight="1" x14ac:dyDescent="0.25">
      <c r="A144" s="23" t="s">
        <v>137</v>
      </c>
      <c r="B144" s="26"/>
      <c r="C144" s="26"/>
      <c r="D144" s="26"/>
      <c r="E144" s="26">
        <f>C143+(1*D143)</f>
        <v>2723.6512274031411</v>
      </c>
      <c r="F144" s="26"/>
    </row>
    <row r="145" spans="1:6" ht="12.75" customHeight="1" x14ac:dyDescent="0.25">
      <c r="A145" s="23" t="s">
        <v>138</v>
      </c>
      <c r="B145" s="26"/>
      <c r="C145" s="26"/>
      <c r="D145" s="26"/>
      <c r="E145" s="26">
        <f>C143+(2*D143)</f>
        <v>2751.9193116678166</v>
      </c>
      <c r="F145" s="26"/>
    </row>
    <row r="146" spans="1:6" ht="12.75" customHeight="1" x14ac:dyDescent="0.25">
      <c r="A146" s="23" t="s">
        <v>139</v>
      </c>
      <c r="B146" s="26"/>
      <c r="C146" s="26"/>
      <c r="D146" s="26"/>
      <c r="E146" s="26">
        <f>C143+(3*D143)</f>
        <v>2780.1873959324921</v>
      </c>
      <c r="F146" s="26"/>
    </row>
    <row r="147" spans="1:6" ht="12.75" customHeight="1" x14ac:dyDescent="0.25">
      <c r="A147" s="23" t="s">
        <v>140</v>
      </c>
      <c r="B147" s="26"/>
      <c r="C147" s="26"/>
      <c r="D147" s="26"/>
      <c r="E147" s="26">
        <f>C143+(4*D143)</f>
        <v>2808.4554801971676</v>
      </c>
      <c r="F147" s="26"/>
    </row>
    <row r="148" spans="1:6" ht="12.75" customHeight="1" x14ac:dyDescent="0.25">
      <c r="A148" s="23" t="s">
        <v>141</v>
      </c>
      <c r="B148" s="26"/>
      <c r="C148" s="26"/>
      <c r="D148" s="26"/>
      <c r="E148" s="26">
        <f>C143+(5*D143)</f>
        <v>2836.7235644618431</v>
      </c>
      <c r="F148" s="26"/>
    </row>
    <row r="149" spans="1:6" ht="12.75" customHeight="1" x14ac:dyDescent="0.25">
      <c r="A149" s="23" t="s">
        <v>142</v>
      </c>
      <c r="B149" s="26"/>
      <c r="C149" s="26"/>
      <c r="D149" s="26"/>
      <c r="E149" s="26">
        <f>C143+(6*D143)</f>
        <v>2864.9916487265191</v>
      </c>
      <c r="F149" s="26"/>
    </row>
    <row r="150" spans="1:6" ht="12.75" customHeight="1" x14ac:dyDescent="0.25">
      <c r="A150" s="23" t="s">
        <v>143</v>
      </c>
      <c r="B150" s="26"/>
      <c r="C150" s="26"/>
      <c r="D150" s="26"/>
      <c r="E150" s="26">
        <f>C143+(7*D143)</f>
        <v>2893.2597329911946</v>
      </c>
      <c r="F150" s="26"/>
    </row>
    <row r="151" spans="1:6" ht="12.75" customHeight="1" x14ac:dyDescent="0.25">
      <c r="A151" s="23" t="s">
        <v>144</v>
      </c>
      <c r="B151" s="26"/>
      <c r="C151" s="26"/>
      <c r="D151" s="26"/>
      <c r="E151" s="26">
        <f>C143+(8*D143)</f>
        <v>2921.5278172558701</v>
      </c>
      <c r="F151" s="26"/>
    </row>
    <row r="152" spans="1:6" ht="12.75" customHeight="1" x14ac:dyDescent="0.25">
      <c r="A152" s="23" t="s">
        <v>145</v>
      </c>
      <c r="B152" s="26"/>
      <c r="C152" s="26"/>
      <c r="D152" s="26"/>
      <c r="E152" s="26">
        <f>C143+(9*D143)</f>
        <v>2949.7959015205456</v>
      </c>
      <c r="F152" s="26"/>
    </row>
    <row r="153" spans="1:6" ht="12.75" customHeight="1" x14ac:dyDescent="0.25">
      <c r="A153" s="23" t="s">
        <v>146</v>
      </c>
      <c r="B153" s="26"/>
      <c r="C153" s="26"/>
      <c r="D153" s="26"/>
      <c r="E153" s="26">
        <f>C143+(10*D143)</f>
        <v>2978.0639857852211</v>
      </c>
      <c r="F153" s="26"/>
    </row>
    <row r="154" spans="1:6" ht="12.75" customHeight="1" x14ac:dyDescent="0.25">
      <c r="A154" s="23" t="s">
        <v>147</v>
      </c>
      <c r="B154" s="26"/>
      <c r="C154" s="26"/>
      <c r="D154" s="26"/>
      <c r="E154" s="26">
        <f>C143+(11*D143)</f>
        <v>3006.3320700498966</v>
      </c>
      <c r="F154" s="26"/>
    </row>
    <row r="155" spans="1:6" ht="12.75" customHeight="1" x14ac:dyDescent="0.25">
      <c r="A155" s="23" t="s">
        <v>148</v>
      </c>
      <c r="B155" s="26"/>
      <c r="C155" s="26"/>
      <c r="D155" s="26"/>
      <c r="E155" s="26">
        <f>C143+(12*D143)</f>
        <v>3034.6001543145721</v>
      </c>
      <c r="F155" s="26"/>
    </row>
  </sheetData>
  <phoneticPr fontId="1" type="noConversion"/>
  <pageMargins left="0.75" right="0.75" top="1" bottom="1" header="0.5" footer="0.5"/>
  <pageSetup orientation="portrait" blackAndWhite="1" horizontalDpi="300" verticalDpi="30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2.75" x14ac:dyDescent="0.2"/>
  <cols>
    <col min="1" max="1" width="30.7109375" style="11"/>
    <col min="2" max="16384" width="30.7109375" style="10"/>
  </cols>
  <sheetData>
    <row r="1" spans="1:20" x14ac:dyDescent="0.2">
      <c r="A1" s="11" t="s">
        <v>4</v>
      </c>
      <c r="B1" s="10" t="s">
        <v>5</v>
      </c>
      <c r="C1" s="10" t="s">
        <v>66</v>
      </c>
      <c r="D1" s="10">
        <v>5</v>
      </c>
      <c r="E1" s="10" t="s">
        <v>67</v>
      </c>
      <c r="F1" s="10">
        <v>5</v>
      </c>
      <c r="G1" s="10" t="s">
        <v>68</v>
      </c>
      <c r="H1" s="10">
        <v>0</v>
      </c>
      <c r="I1" s="10" t="s">
        <v>69</v>
      </c>
      <c r="J1" s="10">
        <v>1</v>
      </c>
      <c r="K1" s="10" t="s">
        <v>70</v>
      </c>
      <c r="L1" s="10">
        <v>0</v>
      </c>
      <c r="M1" s="10" t="s">
        <v>71</v>
      </c>
      <c r="N1" s="10">
        <v>0</v>
      </c>
      <c r="O1" s="10" t="s">
        <v>72</v>
      </c>
      <c r="P1" s="10">
        <v>1</v>
      </c>
      <c r="Q1" s="10" t="s">
        <v>73</v>
      </c>
      <c r="R1" s="10">
        <v>0</v>
      </c>
      <c r="S1" s="10" t="s">
        <v>74</v>
      </c>
      <c r="T1" s="10">
        <v>0</v>
      </c>
    </row>
    <row r="2" spans="1:20" x14ac:dyDescent="0.2">
      <c r="A2" s="11" t="s">
        <v>6</v>
      </c>
      <c r="B2" s="10" t="s">
        <v>7</v>
      </c>
    </row>
    <row r="3" spans="1:20" x14ac:dyDescent="0.2">
      <c r="A3" s="11" t="s">
        <v>8</v>
      </c>
      <c r="B3" s="10" t="b">
        <f>IF(B10&gt;256,"TripUpST110AndEarlier",FALSE)</f>
        <v>0</v>
      </c>
    </row>
    <row r="4" spans="1:20" x14ac:dyDescent="0.2">
      <c r="A4" s="11" t="s">
        <v>9</v>
      </c>
      <c r="B4" s="10" t="s">
        <v>10</v>
      </c>
    </row>
    <row r="5" spans="1:20" x14ac:dyDescent="0.2">
      <c r="A5" s="11" t="s">
        <v>11</v>
      </c>
      <c r="B5" s="10" t="b">
        <v>1</v>
      </c>
    </row>
    <row r="6" spans="1:20" x14ac:dyDescent="0.2">
      <c r="A6" s="11" t="s">
        <v>12</v>
      </c>
      <c r="B6" s="10" t="b">
        <v>1</v>
      </c>
    </row>
    <row r="7" spans="1:20" x14ac:dyDescent="0.2">
      <c r="A7" s="11" t="s">
        <v>13</v>
      </c>
      <c r="B7" s="10">
        <f>Data!$A$1:$D$61</f>
        <v>6</v>
      </c>
    </row>
    <row r="8" spans="1:20" x14ac:dyDescent="0.2">
      <c r="A8" s="11" t="s">
        <v>14</v>
      </c>
      <c r="B8" s="10">
        <v>1</v>
      </c>
    </row>
    <row r="9" spans="1:20" x14ac:dyDescent="0.2">
      <c r="A9" s="11" t="s">
        <v>15</v>
      </c>
      <c r="B9" s="10">
        <f>1</f>
        <v>1</v>
      </c>
    </row>
    <row r="10" spans="1:20" x14ac:dyDescent="0.2">
      <c r="A10" s="11" t="s">
        <v>16</v>
      </c>
      <c r="B10" s="10">
        <v>4</v>
      </c>
    </row>
    <row r="12" spans="1:20" x14ac:dyDescent="0.2">
      <c r="A12" s="11" t="s">
        <v>17</v>
      </c>
      <c r="B12" s="10" t="s">
        <v>18</v>
      </c>
      <c r="C12" s="10" t="s">
        <v>19</v>
      </c>
      <c r="D12" s="10" t="s">
        <v>20</v>
      </c>
      <c r="E12" s="10" t="b">
        <v>1</v>
      </c>
      <c r="F12" s="10">
        <v>0</v>
      </c>
      <c r="G12" s="10">
        <v>4</v>
      </c>
    </row>
    <row r="13" spans="1:20" x14ac:dyDescent="0.2">
      <c r="A13" s="11" t="s">
        <v>21</v>
      </c>
      <c r="B13" s="10">
        <f>Data!$A$1:$A$61</f>
        <v>39052</v>
      </c>
    </row>
    <row r="14" spans="1:20" x14ac:dyDescent="0.2">
      <c r="A14" s="11" t="s">
        <v>22</v>
      </c>
    </row>
    <row r="15" spans="1:20" x14ac:dyDescent="0.2">
      <c r="A15" s="11" t="s">
        <v>23</v>
      </c>
      <c r="B15" s="10" t="s">
        <v>24</v>
      </c>
      <c r="C15" s="10" t="s">
        <v>25</v>
      </c>
      <c r="D15" s="10" t="s">
        <v>26</v>
      </c>
      <c r="E15" s="10" t="b">
        <v>1</v>
      </c>
      <c r="F15" s="10">
        <v>0</v>
      </c>
      <c r="G15" s="10">
        <v>4</v>
      </c>
    </row>
    <row r="16" spans="1:20" x14ac:dyDescent="0.2">
      <c r="A16" s="11" t="s">
        <v>27</v>
      </c>
      <c r="B16" s="12">
        <f>Data!$B$1:$B$61</f>
        <v>15</v>
      </c>
    </row>
    <row r="17" spans="1:7" x14ac:dyDescent="0.2">
      <c r="A17" s="11" t="s">
        <v>28</v>
      </c>
    </row>
    <row r="18" spans="1:7" x14ac:dyDescent="0.2">
      <c r="A18" s="11" t="s">
        <v>29</v>
      </c>
      <c r="B18" s="10" t="s">
        <v>30</v>
      </c>
      <c r="C18" s="10" t="s">
        <v>31</v>
      </c>
      <c r="D18" s="10" t="s">
        <v>32</v>
      </c>
      <c r="E18" s="10" t="b">
        <v>1</v>
      </c>
      <c r="F18" s="10">
        <v>0</v>
      </c>
      <c r="G18" s="10">
        <v>4</v>
      </c>
    </row>
    <row r="19" spans="1:7" x14ac:dyDescent="0.2">
      <c r="A19" s="11" t="s">
        <v>33</v>
      </c>
      <c r="B19" s="10">
        <f>Data!$C$1:$C$61</f>
        <v>1499</v>
      </c>
    </row>
    <row r="20" spans="1:7" x14ac:dyDescent="0.2">
      <c r="A20" s="11" t="s">
        <v>34</v>
      </c>
    </row>
    <row r="21" spans="1:7" x14ac:dyDescent="0.2">
      <c r="A21" s="11" t="s">
        <v>35</v>
      </c>
      <c r="B21" s="10" t="s">
        <v>36</v>
      </c>
      <c r="C21" s="10" t="s">
        <v>37</v>
      </c>
      <c r="D21" s="10" t="s">
        <v>38</v>
      </c>
      <c r="E21" s="10" t="b">
        <v>1</v>
      </c>
      <c r="F21" s="10">
        <v>0</v>
      </c>
      <c r="G21" s="10">
        <v>4</v>
      </c>
    </row>
    <row r="22" spans="1:7" x14ac:dyDescent="0.2">
      <c r="A22" s="11" t="s">
        <v>39</v>
      </c>
      <c r="B22" s="10">
        <f>Data!$D$1:$D$61</f>
        <v>1516</v>
      </c>
    </row>
    <row r="23" spans="1:7" x14ac:dyDescent="0.2">
      <c r="A23" s="1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Data</vt:lpstr>
      <vt:lpstr>Time Series</vt:lpstr>
      <vt:lpstr>Forecast MA Span3</vt:lpstr>
      <vt:lpstr>Forecast MA Span6</vt:lpstr>
      <vt:lpstr>Forecast MA Span12</vt:lpstr>
      <vt:lpstr>Forecast Simple Exponential</vt:lpstr>
      <vt:lpstr>Forecast Holts Exponential</vt:lpstr>
      <vt:lpstr>_STDS_DG810C2A5</vt:lpstr>
      <vt:lpstr>ST_Month</vt:lpstr>
      <vt:lpstr>ST_Sales1</vt:lpstr>
      <vt:lpstr>ST_Sales2</vt:lpstr>
      <vt:lpstr>ST_Time</vt:lpstr>
      <vt:lpstr>'Forecast Holts Exponential'!StatToolsHeader</vt:lpstr>
      <vt:lpstr>'Forecast MA Span12'!StatToolsHeader</vt:lpstr>
      <vt:lpstr>'Forecast MA Span3'!StatToolsHeader</vt:lpstr>
      <vt:lpstr>'Forecast MA Span6'!StatToolsHeader</vt:lpstr>
      <vt:lpstr>'Forecast Simple Exponential'!StatToolsHeader</vt:lpstr>
      <vt:lpstr>'Time Series'!StatToolsHeader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IU School of Business</dc:creator>
  <cp:keywords/>
  <dc:description/>
  <cp:lastModifiedBy>Chris Albright</cp:lastModifiedBy>
  <dcterms:created xsi:type="dcterms:W3CDTF">1998-11-01T22:50:57Z</dcterms:created>
  <dcterms:modified xsi:type="dcterms:W3CDTF">2014-02-12T23:03:32Z</dcterms:modified>
</cp:coreProperties>
</file>